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24226"/>
  <mc:AlternateContent xmlns:mc="http://schemas.openxmlformats.org/markup-compatibility/2006">
    <mc:Choice Requires="x15">
      <x15ac:absPath xmlns:x15ac="http://schemas.microsoft.com/office/spreadsheetml/2010/11/ac" url="S:\Apportionment_NEW\Tools and Forms\"/>
    </mc:Choice>
  </mc:AlternateContent>
  <xr:revisionPtr revIDLastSave="0" documentId="13_ncr:1_{D2B149DB-E314-459E-A527-DFCDFDF1C9CB}" xr6:coauthVersionLast="47" xr6:coauthVersionMax="47" xr10:uidLastSave="{00000000-0000-0000-0000-000000000000}"/>
  <bookViews>
    <workbookView xWindow="29595" yWindow="510" windowWidth="27480" windowHeight="14145" tabRatio="935" activeTab="2" xr2:uid="{00000000-000D-0000-FFFF-FFFF00000000}"/>
  </bookViews>
  <sheets>
    <sheet name="Please Read Instructions" sheetId="29" r:id="rId1"/>
    <sheet name="CCDDD" sheetId="26" state="hidden" r:id="rId2"/>
    <sheet name="Fund Balance Summary" sheetId="24" r:id="rId3"/>
    <sheet name="ALLOC" sheetId="28" state="hidden" r:id="rId4"/>
    <sheet name="Indirects" sheetId="27" state="hidden" r:id="rId5"/>
    <sheet name="GL 810 Restricted" sheetId="2" r:id="rId6"/>
    <sheet name="GL 815 Restricted" sheetId="3" r:id="rId7"/>
    <sheet name="GL 819 Restricted" sheetId="34" r:id="rId8"/>
    <sheet name="GL 821 Restricted" sheetId="4" r:id="rId9"/>
    <sheet name="1191 PLD 34 Annual Detail" sheetId="53" state="hidden" r:id="rId10"/>
    <sheet name="PLD Allocation" sheetId="50" state="hidden" r:id="rId11"/>
    <sheet name="GL 823 Restricted" sheetId="56" r:id="rId12"/>
    <sheet name="GL 825 Restricted" sheetId="33" r:id="rId13"/>
    <sheet name="GL 828 Restricted" sheetId="31" r:id="rId14"/>
    <sheet name="Food Svc Carryover" sheetId="32" state="hidden" r:id="rId15"/>
    <sheet name="Sheet1" sheetId="60" state="hidden" r:id="rId16"/>
    <sheet name="GL 830 Restricted" sheetId="5" r:id="rId17"/>
    <sheet name="GL 835 Restricted" sheetId="6" r:id="rId18"/>
    <sheet name="GL 840 Nonspendable" sheetId="1" r:id="rId19"/>
    <sheet name="GL 845 Restricted" sheetId="7" r:id="rId20"/>
    <sheet name="GL 850 Restricted" sheetId="8" r:id="rId21"/>
    <sheet name="GL 855 Nonspendable" sheetId="9" r:id="rId22"/>
    <sheet name="GL 861 CPF Restricted" sheetId="10" r:id="rId23"/>
    <sheet name="GL 862 CPF Restricted" sheetId="11" r:id="rId24"/>
    <sheet name="GL 863 CPF Restricted" sheetId="12" r:id="rId25"/>
    <sheet name="GL 864 CPF Restricted" sheetId="13" r:id="rId26"/>
    <sheet name="GL 865 CPF Restricted" sheetId="14" r:id="rId27"/>
    <sheet name="GL 866 CPF Restricted" sheetId="15" r:id="rId28"/>
    <sheet name="GL 867 CPF Restricted" sheetId="16" r:id="rId29"/>
    <sheet name="GL 868 CPF Restricted" sheetId="59" r:id="rId30"/>
    <sheet name="GL 869 CPF Restricted" sheetId="17" r:id="rId31"/>
    <sheet name="GL 870 Committed" sheetId="18" r:id="rId32"/>
    <sheet name="GL 872 Committed" sheetId="19" r:id="rId33"/>
    <sheet name="GL 873 Committed" sheetId="55" r:id="rId34"/>
    <sheet name="GL 875 Assigned" sheetId="20" r:id="rId35"/>
    <sheet name="GL 884 Assigned" sheetId="21" r:id="rId36"/>
    <sheet name="GL 888 Assigned" sheetId="25" r:id="rId37"/>
    <sheet name="GL 889 Assigned" sheetId="22" r:id="rId38"/>
    <sheet name="GL 890 Unassigned" sheetId="23" r:id="rId39"/>
    <sheet name="GL 891 Unassigned MFBP" sheetId="38" r:id="rId40"/>
    <sheet name="Journal Entries" sheetId="30" r:id="rId41"/>
  </sheets>
  <definedNames>
    <definedName name="_xlnm._FilterDatabase" localSheetId="2" hidden="1">'Fund Balance Summary'!$A$1:$B$2</definedName>
    <definedName name="DISNAME">ALLOC!$C$7:$C$336</definedName>
    <definedName name="disname2">ALLOC!$A$7:$A$336</definedName>
    <definedName name="disnameA">ALLOC!$A$7:$A$336</definedName>
    <definedName name="_xlnm.Print_Area" localSheetId="2">'Fund Balance Summary'!$A$1:$O$57</definedName>
    <definedName name="_xlnm.Print_Area" localSheetId="8">'GL 821 Restricted'!$A$70:$C$90</definedName>
    <definedName name="_xlnm.Print_Area" localSheetId="11">'GL 823 Restricted'!$A$1:$G$23</definedName>
    <definedName name="_xlnm.Print_Area" localSheetId="13">'GL 828 Restricted'!$A$1:$F$47</definedName>
    <definedName name="_xlnm.Print_Area" localSheetId="0">'Please Read Instructions'!$B$2:$B$28</definedName>
    <definedName name="solver_eng" localSheetId="0" hidden="1">1</definedName>
    <definedName name="solver_neg" localSheetId="0" hidden="1">1</definedName>
    <definedName name="solver_num" localSheetId="0" hidden="1">0</definedName>
    <definedName name="solver_opt" localSheetId="0" hidden="1">'Please Read Instructions'!$B$2</definedName>
    <definedName name="solver_typ" localSheetId="0" hidden="1">1</definedName>
    <definedName name="solver_val" localSheetId="0" hidden="1">0</definedName>
    <definedName name="solver_ver" localSheetId="0" hidden="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7" i="50" l="1"/>
  <c r="AR6" i="28"/>
  <c r="AO7" i="50"/>
  <c r="AY7" i="50"/>
  <c r="AF337" i="50"/>
  <c r="AF336" i="50"/>
  <c r="AF335" i="50"/>
  <c r="AF334" i="50"/>
  <c r="AF333" i="50"/>
  <c r="AF332" i="50"/>
  <c r="AF331" i="50"/>
  <c r="AF330" i="50"/>
  <c r="AF329" i="50"/>
  <c r="AF328" i="50"/>
  <c r="AF327" i="50"/>
  <c r="AF326" i="50"/>
  <c r="AF325" i="50"/>
  <c r="AF324" i="50"/>
  <c r="AF323" i="50"/>
  <c r="AF322" i="50"/>
  <c r="AF321" i="50"/>
  <c r="AF320" i="50"/>
  <c r="AF319" i="50"/>
  <c r="AF318" i="50"/>
  <c r="AF317" i="50"/>
  <c r="AF316" i="50"/>
  <c r="AF315" i="50"/>
  <c r="AF314" i="50"/>
  <c r="AF313" i="50"/>
  <c r="AF312" i="50"/>
  <c r="AF311" i="50"/>
  <c r="AF310" i="50"/>
  <c r="AF309" i="50"/>
  <c r="AF308" i="50"/>
  <c r="AF307" i="50"/>
  <c r="AF306" i="50"/>
  <c r="AF305" i="50"/>
  <c r="AF304" i="50"/>
  <c r="AF303" i="50"/>
  <c r="AF302" i="50"/>
  <c r="AF301" i="50"/>
  <c r="AF300" i="50"/>
  <c r="AF299" i="50"/>
  <c r="AF298" i="50"/>
  <c r="AF297" i="50"/>
  <c r="AF296" i="50"/>
  <c r="AF295" i="50"/>
  <c r="AF294" i="50"/>
  <c r="AF293" i="50"/>
  <c r="AF292" i="50"/>
  <c r="AF291" i="50"/>
  <c r="AF290" i="50"/>
  <c r="AF289" i="50"/>
  <c r="AF288" i="50"/>
  <c r="AF287" i="50"/>
  <c r="AF286" i="50"/>
  <c r="AF284" i="50"/>
  <c r="AF283" i="50"/>
  <c r="AF282" i="50"/>
  <c r="AF285" i="50"/>
  <c r="AF281" i="50"/>
  <c r="AF280" i="50"/>
  <c r="AF279" i="50"/>
  <c r="AF278" i="50"/>
  <c r="AF277" i="50"/>
  <c r="AF276" i="50"/>
  <c r="AF275" i="50"/>
  <c r="AF274" i="50"/>
  <c r="AF273" i="50"/>
  <c r="AF272" i="50"/>
  <c r="AF271" i="50"/>
  <c r="AF270" i="50"/>
  <c r="AF269" i="50"/>
  <c r="AF268" i="50"/>
  <c r="AF267" i="50"/>
  <c r="AF266" i="50"/>
  <c r="AF265" i="50"/>
  <c r="AF264" i="50"/>
  <c r="AF263" i="50"/>
  <c r="AF262" i="50"/>
  <c r="AF261" i="50"/>
  <c r="AF260" i="50"/>
  <c r="AF259" i="50"/>
  <c r="AF258" i="50"/>
  <c r="AF257" i="50"/>
  <c r="AF256" i="50"/>
  <c r="AF255" i="50"/>
  <c r="AF254" i="50"/>
  <c r="AF253" i="50"/>
  <c r="AF252" i="50"/>
  <c r="AF251" i="50"/>
  <c r="AF250" i="50"/>
  <c r="AF249" i="50"/>
  <c r="AF248" i="50"/>
  <c r="AF247" i="50"/>
  <c r="AF246" i="50"/>
  <c r="AF245" i="50"/>
  <c r="AF244" i="50"/>
  <c r="AF243" i="50"/>
  <c r="AF242" i="50"/>
  <c r="AF241" i="50"/>
  <c r="AF240" i="50"/>
  <c r="AF239" i="50"/>
  <c r="AF238" i="50"/>
  <c r="AF237" i="50"/>
  <c r="AF236" i="50"/>
  <c r="AF235" i="50"/>
  <c r="AF234" i="50"/>
  <c r="AF233" i="50"/>
  <c r="AF232" i="50"/>
  <c r="AF231" i="50"/>
  <c r="AF230" i="50"/>
  <c r="AF229" i="50"/>
  <c r="AF228" i="50"/>
  <c r="AF227" i="50"/>
  <c r="AF226" i="50"/>
  <c r="AF225" i="50"/>
  <c r="AF125" i="50"/>
  <c r="AF224" i="50"/>
  <c r="AF223" i="50"/>
  <c r="AF222" i="50"/>
  <c r="AF221" i="50"/>
  <c r="AF220" i="50"/>
  <c r="AF219" i="50"/>
  <c r="AF218" i="50"/>
  <c r="AF217" i="50"/>
  <c r="AF216" i="50"/>
  <c r="AF215" i="50"/>
  <c r="AF214" i="50"/>
  <c r="AF213" i="50"/>
  <c r="AF212" i="50"/>
  <c r="AF211" i="50"/>
  <c r="AF210" i="50"/>
  <c r="AF209" i="50"/>
  <c r="AF208" i="50"/>
  <c r="AF207" i="50"/>
  <c r="AF206" i="50"/>
  <c r="AF205" i="50"/>
  <c r="AF204" i="50"/>
  <c r="AF203" i="50"/>
  <c r="AF202" i="50"/>
  <c r="AF201" i="50"/>
  <c r="AF200" i="50"/>
  <c r="AF199" i="50"/>
  <c r="AF198" i="50"/>
  <c r="AF197" i="50"/>
  <c r="AF196" i="50"/>
  <c r="AF195" i="50"/>
  <c r="AF194" i="50"/>
  <c r="AF193" i="50"/>
  <c r="AF192" i="50"/>
  <c r="AF191" i="50"/>
  <c r="AF190" i="50"/>
  <c r="AF189" i="50"/>
  <c r="AF188" i="50"/>
  <c r="AF187" i="50"/>
  <c r="AF186" i="50"/>
  <c r="AF185" i="50"/>
  <c r="AF184" i="50"/>
  <c r="AF183" i="50"/>
  <c r="AF182" i="50"/>
  <c r="AF181" i="50"/>
  <c r="AF180" i="50"/>
  <c r="AF179" i="50"/>
  <c r="AF178" i="50"/>
  <c r="AF177" i="50"/>
  <c r="AF176" i="50"/>
  <c r="AF175" i="50"/>
  <c r="AF174" i="50"/>
  <c r="AF173" i="50"/>
  <c r="AF172" i="50"/>
  <c r="AF171" i="50"/>
  <c r="AF170" i="50"/>
  <c r="AF169" i="50"/>
  <c r="AF168" i="50"/>
  <c r="AF167" i="50"/>
  <c r="AF166" i="50"/>
  <c r="AF165" i="50"/>
  <c r="AF164" i="50"/>
  <c r="AF163" i="50"/>
  <c r="AF162" i="50"/>
  <c r="AF161" i="50"/>
  <c r="AF160" i="50"/>
  <c r="AF159" i="50"/>
  <c r="AF158" i="50"/>
  <c r="AF157" i="50"/>
  <c r="AF156" i="50"/>
  <c r="AF155" i="50"/>
  <c r="AF154" i="50"/>
  <c r="AF153" i="50"/>
  <c r="AF152" i="50"/>
  <c r="AF151" i="50"/>
  <c r="AF150" i="50"/>
  <c r="AF149" i="50"/>
  <c r="AF148" i="50"/>
  <c r="AF147" i="50"/>
  <c r="AF146" i="50"/>
  <c r="AF145" i="50"/>
  <c r="AF144" i="50"/>
  <c r="AF143" i="50"/>
  <c r="AF142" i="50"/>
  <c r="AF141" i="50"/>
  <c r="AF140" i="50"/>
  <c r="AF139" i="50"/>
  <c r="AF138" i="50"/>
  <c r="AF137" i="50"/>
  <c r="AF136" i="50"/>
  <c r="AF135" i="50"/>
  <c r="AF134" i="50"/>
  <c r="AF133" i="50"/>
  <c r="AF132" i="50"/>
  <c r="AF131" i="50"/>
  <c r="AF130" i="50"/>
  <c r="AF129" i="50"/>
  <c r="AF128" i="50"/>
  <c r="AF127" i="50"/>
  <c r="AF126" i="50"/>
  <c r="AF124" i="50"/>
  <c r="AF123" i="50"/>
  <c r="AF122" i="50"/>
  <c r="AF121" i="50"/>
  <c r="AF120" i="50"/>
  <c r="AF119" i="50"/>
  <c r="AF118" i="50"/>
  <c r="AF117" i="50"/>
  <c r="AF116" i="50"/>
  <c r="AF115" i="50"/>
  <c r="AF114" i="50"/>
  <c r="AF113" i="50"/>
  <c r="AF112" i="50"/>
  <c r="AF111" i="50"/>
  <c r="AF110" i="50"/>
  <c r="AF109" i="50"/>
  <c r="AF108" i="50"/>
  <c r="AF107" i="50"/>
  <c r="AF106" i="50"/>
  <c r="AF105" i="50"/>
  <c r="AF104" i="50"/>
  <c r="AF103" i="50"/>
  <c r="AF102" i="50"/>
  <c r="AF101" i="50"/>
  <c r="AF100" i="50"/>
  <c r="AF99" i="50"/>
  <c r="AF98" i="50"/>
  <c r="AF97" i="50"/>
  <c r="AF96" i="50"/>
  <c r="AF95" i="50"/>
  <c r="AF94" i="50"/>
  <c r="AF93" i="50"/>
  <c r="AF92" i="50"/>
  <c r="AF91" i="50"/>
  <c r="AF90" i="50"/>
  <c r="AF89" i="50"/>
  <c r="AF88" i="50"/>
  <c r="AF87" i="50"/>
  <c r="AF86" i="50"/>
  <c r="AF85" i="50"/>
  <c r="AF84" i="50"/>
  <c r="AF83" i="50"/>
  <c r="AF82" i="50"/>
  <c r="AF81" i="50"/>
  <c r="AF80" i="50"/>
  <c r="AF79" i="50"/>
  <c r="AF78" i="50"/>
  <c r="AF77" i="50"/>
  <c r="AF76" i="50"/>
  <c r="AF75" i="50"/>
  <c r="AF74" i="50"/>
  <c r="AF73" i="50"/>
  <c r="AF72" i="50"/>
  <c r="AF71" i="50"/>
  <c r="AF70" i="50"/>
  <c r="AF69" i="50"/>
  <c r="AF68" i="50"/>
  <c r="AF67" i="50"/>
  <c r="AF66" i="50"/>
  <c r="AF65" i="50"/>
  <c r="AF64" i="50"/>
  <c r="AF63" i="50"/>
  <c r="AF62" i="50"/>
  <c r="AF61" i="50"/>
  <c r="AF60" i="50"/>
  <c r="AF59" i="50"/>
  <c r="AF58" i="50"/>
  <c r="AF57" i="50"/>
  <c r="AF56" i="50"/>
  <c r="AF55" i="50"/>
  <c r="AF54" i="50"/>
  <c r="AF53" i="50"/>
  <c r="AF52" i="50"/>
  <c r="AF51" i="50"/>
  <c r="AF50" i="50"/>
  <c r="AF49" i="50"/>
  <c r="AF48" i="50"/>
  <c r="AF47" i="50"/>
  <c r="AF46" i="50"/>
  <c r="AF45" i="50"/>
  <c r="AF44" i="50"/>
  <c r="AF43" i="50"/>
  <c r="AF42" i="50"/>
  <c r="AF41" i="50"/>
  <c r="AF40" i="50"/>
  <c r="AF39" i="50"/>
  <c r="AF38" i="50"/>
  <c r="AF37" i="50"/>
  <c r="AF36" i="50"/>
  <c r="AF35" i="50"/>
  <c r="AF34" i="50"/>
  <c r="AF33" i="50"/>
  <c r="AF32" i="50"/>
  <c r="AF31" i="50"/>
  <c r="AF30" i="50"/>
  <c r="AF29" i="50"/>
  <c r="AF28" i="50"/>
  <c r="AF27" i="50"/>
  <c r="AF26" i="50"/>
  <c r="AF25" i="50"/>
  <c r="AF24" i="50"/>
  <c r="AF23" i="50"/>
  <c r="AF22" i="50"/>
  <c r="AF21" i="50"/>
  <c r="AF20" i="50"/>
  <c r="AF19" i="50"/>
  <c r="AF18" i="50"/>
  <c r="AF17" i="50"/>
  <c r="AF16" i="50"/>
  <c r="AF15" i="50"/>
  <c r="AF14" i="50"/>
  <c r="AF13" i="50"/>
  <c r="AF12" i="50"/>
  <c r="AF11" i="50"/>
  <c r="AF10" i="50"/>
  <c r="AF9" i="50"/>
  <c r="AF8" i="50"/>
  <c r="BA286" i="28"/>
  <c r="BA285" i="28"/>
  <c r="BA284" i="28"/>
  <c r="BA283" i="28"/>
  <c r="BA282" i="28"/>
  <c r="BA281" i="28"/>
  <c r="BA280" i="28"/>
  <c r="BA279" i="28"/>
  <c r="BA278" i="28"/>
  <c r="BA337" i="28"/>
  <c r="BA336" i="28"/>
  <c r="BA335" i="28"/>
  <c r="BA334" i="28"/>
  <c r="BA333" i="28"/>
  <c r="BA332" i="28"/>
  <c r="BA331" i="28"/>
  <c r="BA330" i="28"/>
  <c r="BA329" i="28"/>
  <c r="BA328" i="28"/>
  <c r="BA327" i="28"/>
  <c r="BA326" i="28"/>
  <c r="BA325" i="28"/>
  <c r="BA324" i="28"/>
  <c r="BA323" i="28"/>
  <c r="BA322" i="28"/>
  <c r="BA321" i="28"/>
  <c r="BA320" i="28"/>
  <c r="BA319" i="28"/>
  <c r="BA318" i="28"/>
  <c r="BA317" i="28"/>
  <c r="BA316" i="28"/>
  <c r="BA315" i="28"/>
  <c r="BA314" i="28"/>
  <c r="BA313" i="28"/>
  <c r="BA312" i="28"/>
  <c r="BA311" i="28"/>
  <c r="BA310" i="28"/>
  <c r="BA309" i="28"/>
  <c r="BA308" i="28"/>
  <c r="BA307" i="28"/>
  <c r="BA306" i="28"/>
  <c r="BA305" i="28"/>
  <c r="BA304" i="28"/>
  <c r="BA303" i="28"/>
  <c r="BA302" i="28"/>
  <c r="BA301" i="28"/>
  <c r="BA300" i="28"/>
  <c r="BA299" i="28"/>
  <c r="BA298" i="28"/>
  <c r="BA297" i="28"/>
  <c r="BA296" i="28"/>
  <c r="BA295" i="28"/>
  <c r="BA294" i="28"/>
  <c r="BA293" i="28"/>
  <c r="BA292" i="28"/>
  <c r="BA291" i="28"/>
  <c r="BA290" i="28"/>
  <c r="BA289" i="28"/>
  <c r="BA288" i="28"/>
  <c r="BA287" i="28"/>
  <c r="BA277" i="28"/>
  <c r="BA276" i="28"/>
  <c r="BA275" i="28"/>
  <c r="BA274" i="28"/>
  <c r="BA273" i="28"/>
  <c r="BA272" i="28"/>
  <c r="BA271" i="28"/>
  <c r="BA270" i="28"/>
  <c r="BA269" i="28"/>
  <c r="BA268" i="28"/>
  <c r="BA267" i="28"/>
  <c r="BA266" i="28"/>
  <c r="BA265" i="28"/>
  <c r="BA264" i="28"/>
  <c r="BA263" i="28"/>
  <c r="BA262" i="28"/>
  <c r="BA261" i="28"/>
  <c r="BA260" i="28"/>
  <c r="BA259" i="28"/>
  <c r="BA258" i="28"/>
  <c r="BA257" i="28"/>
  <c r="BA256" i="28"/>
  <c r="BA255" i="28"/>
  <c r="BA254" i="28"/>
  <c r="BA253" i="28"/>
  <c r="BA252" i="28"/>
  <c r="BA251" i="28"/>
  <c r="BA250" i="28"/>
  <c r="BA249" i="28"/>
  <c r="BA248" i="28"/>
  <c r="BA247" i="28"/>
  <c r="BA246" i="28"/>
  <c r="BA245" i="28"/>
  <c r="BA244" i="28"/>
  <c r="BA243" i="28"/>
  <c r="BA242" i="28"/>
  <c r="BA241" i="28"/>
  <c r="BA240" i="28"/>
  <c r="BA239" i="28"/>
  <c r="BA238" i="28"/>
  <c r="BA237" i="28"/>
  <c r="BA236" i="28"/>
  <c r="BA235" i="28"/>
  <c r="BA234" i="28"/>
  <c r="BA233" i="28"/>
  <c r="BA232" i="28"/>
  <c r="BA231" i="28"/>
  <c r="BA230" i="28"/>
  <c r="BA229" i="28"/>
  <c r="BA228" i="28"/>
  <c r="BA227" i="28"/>
  <c r="BA226" i="28"/>
  <c r="BA225" i="28"/>
  <c r="BA224" i="28"/>
  <c r="BA223" i="28"/>
  <c r="BA222" i="28"/>
  <c r="BA221" i="28"/>
  <c r="BA220" i="28"/>
  <c r="BA219" i="28"/>
  <c r="BA218" i="28"/>
  <c r="BA217" i="28"/>
  <c r="BA216" i="28"/>
  <c r="BA215" i="28"/>
  <c r="BA214" i="28"/>
  <c r="BA213" i="28"/>
  <c r="BA212" i="28"/>
  <c r="BA211" i="28"/>
  <c r="BA210" i="28"/>
  <c r="BA209" i="28"/>
  <c r="BA208" i="28"/>
  <c r="BA207" i="28"/>
  <c r="BA206" i="28"/>
  <c r="BA205" i="28"/>
  <c r="BA204" i="28"/>
  <c r="BA203" i="28"/>
  <c r="BA202" i="28"/>
  <c r="BA201" i="28"/>
  <c r="BA200" i="28"/>
  <c r="BA199" i="28"/>
  <c r="BA198" i="28"/>
  <c r="BA197" i="28"/>
  <c r="BA196" i="28"/>
  <c r="BA195" i="28"/>
  <c r="BA194" i="28"/>
  <c r="BA193" i="28"/>
  <c r="BA192" i="28"/>
  <c r="BA191" i="28"/>
  <c r="BA190" i="28"/>
  <c r="BA189" i="28"/>
  <c r="BA188" i="28"/>
  <c r="BA187" i="28"/>
  <c r="BA186" i="28"/>
  <c r="BA185" i="28"/>
  <c r="BA184" i="28"/>
  <c r="BA183" i="28"/>
  <c r="BA182" i="28"/>
  <c r="BA181" i="28"/>
  <c r="BA180" i="28"/>
  <c r="BA179" i="28"/>
  <c r="BA178" i="28"/>
  <c r="BA177" i="28"/>
  <c r="BA176" i="28"/>
  <c r="BA175" i="28"/>
  <c r="BA174" i="28"/>
  <c r="BA173" i="28"/>
  <c r="BA172" i="28"/>
  <c r="BA171" i="28"/>
  <c r="BA170" i="28"/>
  <c r="BA169" i="28"/>
  <c r="BA168" i="28"/>
  <c r="BA167" i="28"/>
  <c r="BA166" i="28"/>
  <c r="BA165" i="28"/>
  <c r="BA164" i="28"/>
  <c r="BA163" i="28"/>
  <c r="BA162" i="28"/>
  <c r="BA161" i="28"/>
  <c r="BA160" i="28"/>
  <c r="BA159" i="28"/>
  <c r="BA158" i="28"/>
  <c r="BA157" i="28"/>
  <c r="BA156" i="28"/>
  <c r="BA155" i="28"/>
  <c r="BA154" i="28"/>
  <c r="BA153" i="28"/>
  <c r="BA152" i="28"/>
  <c r="BA151" i="28"/>
  <c r="BA150" i="28"/>
  <c r="BA149" i="28"/>
  <c r="BA148" i="28"/>
  <c r="BA147" i="28"/>
  <c r="BA146" i="28"/>
  <c r="BA145" i="28"/>
  <c r="BA144" i="28"/>
  <c r="BA143" i="28"/>
  <c r="BA142" i="28"/>
  <c r="BA141" i="28"/>
  <c r="BA140" i="28"/>
  <c r="BA139" i="28"/>
  <c r="BA138" i="28"/>
  <c r="BA137" i="28"/>
  <c r="BA136" i="28"/>
  <c r="BA135" i="28"/>
  <c r="BA134" i="28"/>
  <c r="BA133" i="28"/>
  <c r="BA132" i="28"/>
  <c r="BA131" i="28"/>
  <c r="BA130" i="28"/>
  <c r="BA129" i="28"/>
  <c r="BA128" i="28"/>
  <c r="BA127" i="28"/>
  <c r="BA126" i="28"/>
  <c r="BA125" i="28"/>
  <c r="BA124" i="28"/>
  <c r="BA123" i="28"/>
  <c r="BA122" i="28"/>
  <c r="BA121" i="28"/>
  <c r="BA120" i="28"/>
  <c r="BA119" i="28"/>
  <c r="BA118" i="28"/>
  <c r="BA117" i="28"/>
  <c r="BA116" i="28"/>
  <c r="BA115" i="28"/>
  <c r="BA114" i="28"/>
  <c r="BA113" i="28"/>
  <c r="BA112" i="28"/>
  <c r="BA111" i="28"/>
  <c r="BA110" i="28"/>
  <c r="BA109" i="28"/>
  <c r="BA108" i="28"/>
  <c r="BA107" i="28"/>
  <c r="BA106" i="28"/>
  <c r="BA105" i="28"/>
  <c r="BA104" i="28"/>
  <c r="BA103" i="28"/>
  <c r="BA102" i="28"/>
  <c r="BA101" i="28"/>
  <c r="BA100" i="28"/>
  <c r="BA99" i="28"/>
  <c r="BA98" i="28"/>
  <c r="BA97" i="28"/>
  <c r="BA96" i="28"/>
  <c r="BA95" i="28"/>
  <c r="BA94" i="28"/>
  <c r="BA93" i="28"/>
  <c r="BA92" i="28"/>
  <c r="BA91" i="28"/>
  <c r="BA90" i="28"/>
  <c r="BA89" i="28"/>
  <c r="BA88" i="28"/>
  <c r="BA87" i="28"/>
  <c r="BA86" i="28"/>
  <c r="BA85" i="28"/>
  <c r="BA84" i="28"/>
  <c r="BA83" i="28"/>
  <c r="BA82" i="28"/>
  <c r="BA81" i="28"/>
  <c r="BA80" i="28"/>
  <c r="BA79" i="28"/>
  <c r="BA78" i="28"/>
  <c r="BA77" i="28"/>
  <c r="BA76" i="28"/>
  <c r="BA75" i="28"/>
  <c r="BA74" i="28"/>
  <c r="BA73" i="28"/>
  <c r="BA72" i="28"/>
  <c r="BA71" i="28"/>
  <c r="BA70" i="28"/>
  <c r="BA69" i="28"/>
  <c r="BA68" i="28"/>
  <c r="BA67" i="28"/>
  <c r="BA66" i="28"/>
  <c r="BA65" i="28"/>
  <c r="BA64" i="28"/>
  <c r="BA63" i="28"/>
  <c r="BA62" i="28"/>
  <c r="BA61" i="28"/>
  <c r="BA60" i="28"/>
  <c r="BA59" i="28"/>
  <c r="BA58" i="28"/>
  <c r="BA57" i="28"/>
  <c r="BA56" i="28"/>
  <c r="BA55" i="28"/>
  <c r="BA54" i="28"/>
  <c r="BA53" i="28"/>
  <c r="BA52" i="28"/>
  <c r="BA51" i="28"/>
  <c r="BA50" i="28"/>
  <c r="BA49" i="28"/>
  <c r="BA48" i="28"/>
  <c r="BA47" i="28"/>
  <c r="BA46" i="28"/>
  <c r="BA45" i="28"/>
  <c r="BA44" i="28"/>
  <c r="BA43" i="28"/>
  <c r="BA42" i="28"/>
  <c r="BA41" i="28"/>
  <c r="BA40" i="28"/>
  <c r="BA39" i="28"/>
  <c r="BA38" i="28"/>
  <c r="BA37" i="28"/>
  <c r="BA36" i="28"/>
  <c r="BA35" i="28"/>
  <c r="BA34" i="28"/>
  <c r="BA33" i="28"/>
  <c r="BA32" i="28"/>
  <c r="BA31" i="28"/>
  <c r="BA30" i="28"/>
  <c r="BA29" i="28"/>
  <c r="BA28" i="28"/>
  <c r="BA27" i="28"/>
  <c r="BA26" i="28"/>
  <c r="BA25" i="28"/>
  <c r="BA24" i="28"/>
  <c r="BA23" i="28"/>
  <c r="BA22" i="28"/>
  <c r="BA21" i="28"/>
  <c r="BA20" i="28"/>
  <c r="BA19" i="28"/>
  <c r="BA18" i="28"/>
  <c r="BA17" i="28"/>
  <c r="BA16" i="28"/>
  <c r="BA15" i="28"/>
  <c r="BA14" i="28"/>
  <c r="BA13" i="28"/>
  <c r="BA12" i="28"/>
  <c r="BA11" i="28"/>
  <c r="BA10" i="28"/>
  <c r="BA9" i="28"/>
  <c r="BA8" i="28"/>
  <c r="BA7" i="28"/>
  <c r="AU143" i="28"/>
  <c r="AU142" i="28"/>
  <c r="AU141" i="28"/>
  <c r="AU140" i="28"/>
  <c r="AU139" i="28"/>
  <c r="AU138" i="28"/>
  <c r="AU137" i="28"/>
  <c r="AU136" i="28"/>
  <c r="AU135" i="28"/>
  <c r="AU134" i="28"/>
  <c r="AU133" i="28"/>
  <c r="AU132" i="28"/>
  <c r="AU131" i="28"/>
  <c r="AU130" i="28"/>
  <c r="AU129" i="28"/>
  <c r="AU128" i="28"/>
  <c r="AU127" i="28"/>
  <c r="AU126" i="28"/>
  <c r="AU125" i="28"/>
  <c r="AU124" i="28"/>
  <c r="AU123" i="28"/>
  <c r="AU122" i="28"/>
  <c r="AU121" i="28"/>
  <c r="AU120" i="28"/>
  <c r="AU119" i="28"/>
  <c r="AU118" i="28"/>
  <c r="AU336" i="28"/>
  <c r="AU335" i="28"/>
  <c r="AU334" i="28"/>
  <c r="AU333" i="28"/>
  <c r="AU332" i="28"/>
  <c r="AU331" i="28"/>
  <c r="AU330" i="28"/>
  <c r="AU329" i="28"/>
  <c r="AU328" i="28"/>
  <c r="AU327" i="28"/>
  <c r="AU326" i="28"/>
  <c r="AU325" i="28"/>
  <c r="AU324" i="28"/>
  <c r="AU323" i="28"/>
  <c r="AU322" i="28"/>
  <c r="AU321" i="28"/>
  <c r="AU320" i="28"/>
  <c r="AU319" i="28"/>
  <c r="AU318" i="28"/>
  <c r="AU317" i="28"/>
  <c r="AU316" i="28"/>
  <c r="AU315" i="28"/>
  <c r="AU314" i="28"/>
  <c r="AU313" i="28"/>
  <c r="AU312" i="28"/>
  <c r="AU311" i="28"/>
  <c r="AU310" i="28"/>
  <c r="AU309" i="28"/>
  <c r="AU308" i="28"/>
  <c r="AU307" i="28"/>
  <c r="AU306" i="28"/>
  <c r="AU305" i="28"/>
  <c r="AU304" i="28"/>
  <c r="AU303" i="28"/>
  <c r="AU302" i="28"/>
  <c r="AU301" i="28"/>
  <c r="AU300" i="28"/>
  <c r="AU299" i="28"/>
  <c r="AU298" i="28"/>
  <c r="AU297" i="28"/>
  <c r="AU296" i="28"/>
  <c r="AU295" i="28"/>
  <c r="AU294" i="28"/>
  <c r="AU293" i="28"/>
  <c r="AU292" i="28"/>
  <c r="AU291" i="28"/>
  <c r="AU290" i="28"/>
  <c r="AU289" i="28"/>
  <c r="AU288" i="28"/>
  <c r="AU287" i="28"/>
  <c r="AU286" i="28"/>
  <c r="AU285" i="28"/>
  <c r="AU284" i="28"/>
  <c r="AU283" i="28"/>
  <c r="AU282" i="28"/>
  <c r="AU281" i="28"/>
  <c r="AU280" i="28"/>
  <c r="AU279" i="28"/>
  <c r="AU278" i="28"/>
  <c r="AU277" i="28"/>
  <c r="AU276" i="28"/>
  <c r="AU275" i="28"/>
  <c r="AU274" i="28"/>
  <c r="AU273" i="28"/>
  <c r="AU272" i="28"/>
  <c r="AU271" i="28"/>
  <c r="AU270" i="28"/>
  <c r="AU269" i="28"/>
  <c r="AU268" i="28"/>
  <c r="AU267" i="28"/>
  <c r="AU266" i="28"/>
  <c r="AU265" i="28"/>
  <c r="AU264" i="28"/>
  <c r="AU263" i="28"/>
  <c r="AU262" i="28"/>
  <c r="AU261" i="28"/>
  <c r="AU260" i="28"/>
  <c r="AU259" i="28"/>
  <c r="AU258" i="28"/>
  <c r="AU257" i="28"/>
  <c r="AU256" i="28"/>
  <c r="AU255" i="28"/>
  <c r="AU254" i="28"/>
  <c r="AU253" i="28"/>
  <c r="AU252" i="28"/>
  <c r="AU251" i="28"/>
  <c r="AU250" i="28"/>
  <c r="AU249" i="28"/>
  <c r="AU248" i="28"/>
  <c r="AU247" i="28"/>
  <c r="AU246" i="28"/>
  <c r="AU245" i="28"/>
  <c r="AU244" i="28"/>
  <c r="AU243" i="28"/>
  <c r="AU242" i="28"/>
  <c r="AU241" i="28"/>
  <c r="AU240" i="28"/>
  <c r="AU239" i="28"/>
  <c r="AU238" i="28"/>
  <c r="AU237" i="28"/>
  <c r="AU236" i="28"/>
  <c r="AU235" i="28"/>
  <c r="AU234" i="28"/>
  <c r="AU233" i="28"/>
  <c r="AU232" i="28"/>
  <c r="AU231" i="28"/>
  <c r="AU230" i="28"/>
  <c r="AU229" i="28"/>
  <c r="AU228" i="28"/>
  <c r="AU227" i="28"/>
  <c r="AU226" i="28"/>
  <c r="AU225" i="28"/>
  <c r="AU224" i="28"/>
  <c r="AU223" i="28"/>
  <c r="AU222" i="28"/>
  <c r="AU221" i="28"/>
  <c r="AU220" i="28"/>
  <c r="AU219" i="28"/>
  <c r="AU218" i="28"/>
  <c r="AU217" i="28"/>
  <c r="AU216" i="28"/>
  <c r="AU215" i="28"/>
  <c r="AU214" i="28"/>
  <c r="AU213" i="28"/>
  <c r="AU212" i="28"/>
  <c r="AU211" i="28"/>
  <c r="AU210" i="28"/>
  <c r="AU209" i="28"/>
  <c r="AU208" i="28"/>
  <c r="AU207" i="28"/>
  <c r="AU206" i="28"/>
  <c r="AU205" i="28"/>
  <c r="AU204" i="28"/>
  <c r="AU203" i="28"/>
  <c r="AU202" i="28"/>
  <c r="AU201" i="28"/>
  <c r="AU200" i="28"/>
  <c r="AU199" i="28"/>
  <c r="AU198" i="28"/>
  <c r="AU197" i="28"/>
  <c r="AU196" i="28"/>
  <c r="AU195" i="28"/>
  <c r="AU194" i="28"/>
  <c r="AU193" i="28"/>
  <c r="AU192" i="28"/>
  <c r="AU191" i="28"/>
  <c r="AU190" i="28"/>
  <c r="AU189" i="28"/>
  <c r="AU188" i="28"/>
  <c r="AU187" i="28"/>
  <c r="AU186" i="28"/>
  <c r="AU185" i="28"/>
  <c r="AU184" i="28"/>
  <c r="AU183" i="28"/>
  <c r="AU182" i="28"/>
  <c r="AU181" i="28"/>
  <c r="AU180" i="28"/>
  <c r="AU179" i="28"/>
  <c r="AU178" i="28"/>
  <c r="AU177" i="28"/>
  <c r="AU176" i="28"/>
  <c r="AU175" i="28"/>
  <c r="AU174" i="28"/>
  <c r="AU173" i="28"/>
  <c r="AU172" i="28"/>
  <c r="AU171" i="28"/>
  <c r="AU170" i="28"/>
  <c r="AU169" i="28"/>
  <c r="AU168" i="28"/>
  <c r="AU167" i="28"/>
  <c r="AU166" i="28"/>
  <c r="AU165" i="28"/>
  <c r="AU164" i="28"/>
  <c r="AU163" i="28"/>
  <c r="AU162" i="28"/>
  <c r="AU161" i="28"/>
  <c r="AU160" i="28"/>
  <c r="AU159" i="28"/>
  <c r="AU158" i="28"/>
  <c r="AU157" i="28"/>
  <c r="AU156" i="28"/>
  <c r="AU155" i="28"/>
  <c r="AU154" i="28"/>
  <c r="AU153" i="28"/>
  <c r="AU152" i="28"/>
  <c r="AU151" i="28"/>
  <c r="AU150" i="28"/>
  <c r="AU149" i="28"/>
  <c r="AU148" i="28"/>
  <c r="AU147" i="28"/>
  <c r="AU146" i="28"/>
  <c r="AU145" i="28"/>
  <c r="AU144" i="28"/>
  <c r="AU117" i="28"/>
  <c r="AU116" i="28"/>
  <c r="AU115" i="28"/>
  <c r="AU114" i="28"/>
  <c r="AU113" i="28"/>
  <c r="AU112" i="28"/>
  <c r="AU111" i="28"/>
  <c r="AU110" i="28"/>
  <c r="AU109" i="28"/>
  <c r="AU108" i="28"/>
  <c r="AU107" i="28"/>
  <c r="AU106" i="28"/>
  <c r="AU105" i="28"/>
  <c r="AU104" i="28"/>
  <c r="AU103" i="28"/>
  <c r="AU102" i="28"/>
  <c r="AU101" i="28"/>
  <c r="AU100" i="28"/>
  <c r="AU99" i="28"/>
  <c r="AU98" i="28"/>
  <c r="AU97" i="28"/>
  <c r="AU96" i="28"/>
  <c r="AU95" i="28"/>
  <c r="AU94" i="28"/>
  <c r="AU93" i="28"/>
  <c r="AU92" i="28"/>
  <c r="AU91" i="28"/>
  <c r="AU90" i="28"/>
  <c r="AU89" i="28"/>
  <c r="AU88" i="28"/>
  <c r="AU87" i="28"/>
  <c r="AU86" i="28"/>
  <c r="AU85" i="28"/>
  <c r="AU84" i="28"/>
  <c r="AU83" i="28"/>
  <c r="AU82" i="28"/>
  <c r="AU81" i="28"/>
  <c r="AU80" i="28"/>
  <c r="AU79" i="28"/>
  <c r="AU78" i="28"/>
  <c r="AU77" i="28"/>
  <c r="AU76" i="28"/>
  <c r="AU75" i="28"/>
  <c r="AU74" i="28"/>
  <c r="AU73" i="28"/>
  <c r="AU72" i="28"/>
  <c r="AU71" i="28"/>
  <c r="AU70" i="28"/>
  <c r="AU69" i="28"/>
  <c r="AU68" i="28"/>
  <c r="AU67" i="28"/>
  <c r="AU66" i="28"/>
  <c r="AU65" i="28"/>
  <c r="AU64" i="28"/>
  <c r="AU63" i="28"/>
  <c r="AU62" i="28"/>
  <c r="AU61" i="28"/>
  <c r="AU60" i="28"/>
  <c r="AU59" i="28"/>
  <c r="AU58" i="28"/>
  <c r="AU57" i="28"/>
  <c r="AU56" i="28"/>
  <c r="AU55" i="28"/>
  <c r="AU54" i="28"/>
  <c r="AU53" i="28"/>
  <c r="AU52" i="28"/>
  <c r="AU51" i="28"/>
  <c r="AU50" i="28"/>
  <c r="AU49" i="28"/>
  <c r="AU48" i="28"/>
  <c r="AU47" i="28"/>
  <c r="AU46" i="28"/>
  <c r="AU45" i="28"/>
  <c r="AU44" i="28"/>
  <c r="AU43" i="28"/>
  <c r="AU42" i="28"/>
  <c r="AU41" i="28"/>
  <c r="AU40" i="28"/>
  <c r="AU39" i="28"/>
  <c r="AU38" i="28"/>
  <c r="AU37" i="28"/>
  <c r="AU36" i="28"/>
  <c r="AU35" i="28"/>
  <c r="AU34" i="28"/>
  <c r="AU33" i="28"/>
  <c r="AU32" i="28"/>
  <c r="AU31" i="28"/>
  <c r="AU30" i="28"/>
  <c r="AU29" i="28"/>
  <c r="AU28" i="28"/>
  <c r="AU27" i="28"/>
  <c r="AU26" i="28"/>
  <c r="AU25" i="28"/>
  <c r="AU24" i="28"/>
  <c r="AU23" i="28"/>
  <c r="AU22" i="28"/>
  <c r="AU21" i="28"/>
  <c r="AU20" i="28"/>
  <c r="AU19" i="28"/>
  <c r="AU18" i="28"/>
  <c r="AU17" i="28"/>
  <c r="AU16" i="28"/>
  <c r="AU15" i="28"/>
  <c r="AU14" i="28"/>
  <c r="AU13" i="28"/>
  <c r="AU12" i="28"/>
  <c r="AU11" i="28"/>
  <c r="AU10" i="28"/>
  <c r="AU9" i="28"/>
  <c r="AU8" i="28"/>
  <c r="AU7" i="28"/>
  <c r="Q335" i="53"/>
  <c r="N335" i="53"/>
  <c r="R335" i="53" s="1"/>
  <c r="Q334" i="53"/>
  <c r="N334" i="53"/>
  <c r="R334" i="53" s="1"/>
  <c r="R333" i="53"/>
  <c r="Q333" i="53"/>
  <c r="N333" i="53"/>
  <c r="R332" i="53"/>
  <c r="Q332" i="53"/>
  <c r="N332" i="53"/>
  <c r="Q331" i="53"/>
  <c r="N331" i="53"/>
  <c r="R331" i="53" s="1"/>
  <c r="Q330" i="53"/>
  <c r="N330" i="53"/>
  <c r="R330" i="53" s="1"/>
  <c r="R329" i="53"/>
  <c r="Q329" i="53"/>
  <c r="N329" i="53"/>
  <c r="R328" i="53"/>
  <c r="Q328" i="53"/>
  <c r="N328" i="53"/>
  <c r="Q327" i="53"/>
  <c r="N327" i="53"/>
  <c r="R327" i="53" s="1"/>
  <c r="Q326" i="53"/>
  <c r="N326" i="53"/>
  <c r="R326" i="53" s="1"/>
  <c r="R325" i="53"/>
  <c r="Q325" i="53"/>
  <c r="N325" i="53"/>
  <c r="R324" i="53"/>
  <c r="Q324" i="53"/>
  <c r="N324" i="53"/>
  <c r="Q323" i="53"/>
  <c r="N323" i="53"/>
  <c r="R323" i="53" s="1"/>
  <c r="Q322" i="53"/>
  <c r="N322" i="53"/>
  <c r="R322" i="53" s="1"/>
  <c r="R321" i="53"/>
  <c r="Q321" i="53"/>
  <c r="N321" i="53"/>
  <c r="R320" i="53"/>
  <c r="Q320" i="53"/>
  <c r="N320" i="53"/>
  <c r="Q319" i="53"/>
  <c r="N319" i="53"/>
  <c r="R319" i="53" s="1"/>
  <c r="Q318" i="53"/>
  <c r="N318" i="53"/>
  <c r="R318" i="53" s="1"/>
  <c r="R317" i="53"/>
  <c r="Q317" i="53"/>
  <c r="N317" i="53"/>
  <c r="R316" i="53"/>
  <c r="Q316" i="53"/>
  <c r="N316" i="53"/>
  <c r="Q315" i="53"/>
  <c r="N315" i="53"/>
  <c r="R315" i="53" s="1"/>
  <c r="Q314" i="53"/>
  <c r="N314" i="53"/>
  <c r="R314" i="53" s="1"/>
  <c r="R313" i="53"/>
  <c r="Q313" i="53"/>
  <c r="N313" i="53"/>
  <c r="R312" i="53"/>
  <c r="Q312" i="53"/>
  <c r="N312" i="53"/>
  <c r="Q311" i="53"/>
  <c r="N311" i="53"/>
  <c r="R311" i="53" s="1"/>
  <c r="Q310" i="53"/>
  <c r="N310" i="53"/>
  <c r="R310" i="53" s="1"/>
  <c r="R309" i="53"/>
  <c r="Q309" i="53"/>
  <c r="N309" i="53"/>
  <c r="R308" i="53"/>
  <c r="Q308" i="53"/>
  <c r="N308" i="53"/>
  <c r="Q307" i="53"/>
  <c r="N307" i="53"/>
  <c r="R307" i="53" s="1"/>
  <c r="Q306" i="53"/>
  <c r="N306" i="53"/>
  <c r="R306" i="53" s="1"/>
  <c r="R305" i="53"/>
  <c r="Q305" i="53"/>
  <c r="N305" i="53"/>
  <c r="R304" i="53"/>
  <c r="Q304" i="53"/>
  <c r="N304" i="53"/>
  <c r="Q303" i="53"/>
  <c r="N303" i="53"/>
  <c r="R303" i="53" s="1"/>
  <c r="Q302" i="53"/>
  <c r="N302" i="53"/>
  <c r="R302" i="53" s="1"/>
  <c r="R301" i="53"/>
  <c r="Q301" i="53"/>
  <c r="N301" i="53"/>
  <c r="R300" i="53"/>
  <c r="Q300" i="53"/>
  <c r="N300" i="53"/>
  <c r="Q299" i="53"/>
  <c r="N299" i="53"/>
  <c r="R299" i="53" s="1"/>
  <c r="Q298" i="53"/>
  <c r="N298" i="53"/>
  <c r="R298" i="53" s="1"/>
  <c r="R297" i="53"/>
  <c r="Q297" i="53"/>
  <c r="N297" i="53"/>
  <c r="R296" i="53"/>
  <c r="Q296" i="53"/>
  <c r="N296" i="53"/>
  <c r="Q295" i="53"/>
  <c r="N295" i="53"/>
  <c r="R295" i="53" s="1"/>
  <c r="Q294" i="53"/>
  <c r="N294" i="53"/>
  <c r="R294" i="53" s="1"/>
  <c r="R293" i="53"/>
  <c r="Q293" i="53"/>
  <c r="N293" i="53"/>
  <c r="R292" i="53"/>
  <c r="Q292" i="53"/>
  <c r="N292" i="53"/>
  <c r="Q291" i="53"/>
  <c r="N291" i="53"/>
  <c r="R291" i="53" s="1"/>
  <c r="Q290" i="53"/>
  <c r="N290" i="53"/>
  <c r="R290" i="53" s="1"/>
  <c r="R289" i="53"/>
  <c r="Q289" i="53"/>
  <c r="N289" i="53"/>
  <c r="R288" i="53"/>
  <c r="Q288" i="53"/>
  <c r="N288" i="53"/>
  <c r="Q287" i="53"/>
  <c r="N287" i="53"/>
  <c r="R287" i="53" s="1"/>
  <c r="Q286" i="53"/>
  <c r="N286" i="53"/>
  <c r="R286" i="53" s="1"/>
  <c r="R285" i="53"/>
  <c r="Q285" i="53"/>
  <c r="N285" i="53"/>
  <c r="R284" i="53"/>
  <c r="Q284" i="53"/>
  <c r="N284" i="53"/>
  <c r="Q283" i="53"/>
  <c r="N283" i="53"/>
  <c r="R283" i="53" s="1"/>
  <c r="R281" i="53"/>
  <c r="Q281" i="53"/>
  <c r="N281" i="53"/>
  <c r="R280" i="53"/>
  <c r="Q280" i="53"/>
  <c r="N280" i="53"/>
  <c r="R279" i="53"/>
  <c r="Q279" i="53"/>
  <c r="N279" i="53"/>
  <c r="Q278" i="53"/>
  <c r="N278" i="53"/>
  <c r="R278" i="53" s="1"/>
  <c r="Q277" i="53"/>
  <c r="N277" i="53"/>
  <c r="R277" i="53" s="1"/>
  <c r="R276" i="53"/>
  <c r="Q276" i="53"/>
  <c r="N276" i="53"/>
  <c r="R275" i="53"/>
  <c r="Q275" i="53"/>
  <c r="N275" i="53"/>
  <c r="Q274" i="53"/>
  <c r="N274" i="53"/>
  <c r="R274" i="53" s="1"/>
  <c r="Q273" i="53"/>
  <c r="N273" i="53"/>
  <c r="R273" i="53" s="1"/>
  <c r="R272" i="53"/>
  <c r="Q272" i="53"/>
  <c r="N272" i="53"/>
  <c r="R271" i="53"/>
  <c r="Q271" i="53"/>
  <c r="N271" i="53"/>
  <c r="Q270" i="53"/>
  <c r="N270" i="53"/>
  <c r="R270" i="53" s="1"/>
  <c r="Q269" i="53"/>
  <c r="N269" i="53"/>
  <c r="R269" i="53" s="1"/>
  <c r="R268" i="53"/>
  <c r="Q268" i="53"/>
  <c r="N268" i="53"/>
  <c r="R267" i="53"/>
  <c r="Q267" i="53"/>
  <c r="N267" i="53"/>
  <c r="Q266" i="53"/>
  <c r="N266" i="53"/>
  <c r="R266" i="53" s="1"/>
  <c r="Q265" i="53"/>
  <c r="N265" i="53"/>
  <c r="R265" i="53" s="1"/>
  <c r="R264" i="53"/>
  <c r="Q264" i="53"/>
  <c r="N264" i="53"/>
  <c r="R263" i="53"/>
  <c r="Q263" i="53"/>
  <c r="N263" i="53"/>
  <c r="Q262" i="53"/>
  <c r="N262" i="53"/>
  <c r="R262" i="53" s="1"/>
  <c r="Q261" i="53"/>
  <c r="N261" i="53"/>
  <c r="R261" i="53" s="1"/>
  <c r="R260" i="53"/>
  <c r="Q260" i="53"/>
  <c r="N260" i="53"/>
  <c r="R259" i="53"/>
  <c r="Q259" i="53"/>
  <c r="N259" i="53"/>
  <c r="Q258" i="53"/>
  <c r="N258" i="53"/>
  <c r="R258" i="53" s="1"/>
  <c r="Q257" i="53"/>
  <c r="N257" i="53"/>
  <c r="R257" i="53" s="1"/>
  <c r="R256" i="53"/>
  <c r="Q256" i="53"/>
  <c r="N256" i="53"/>
  <c r="R255" i="53"/>
  <c r="Q255" i="53"/>
  <c r="N255" i="53"/>
  <c r="Q254" i="53"/>
  <c r="N254" i="53"/>
  <c r="R254" i="53" s="1"/>
  <c r="Q253" i="53"/>
  <c r="N253" i="53"/>
  <c r="R253" i="53" s="1"/>
  <c r="R252" i="53"/>
  <c r="Q252" i="53"/>
  <c r="N252" i="53"/>
  <c r="R251" i="53"/>
  <c r="Q251" i="53"/>
  <c r="N251" i="53"/>
  <c r="Q250" i="53"/>
  <c r="N250" i="53"/>
  <c r="R250" i="53" s="1"/>
  <c r="R249" i="53"/>
  <c r="Q249" i="53"/>
  <c r="N249" i="53"/>
  <c r="R248" i="53"/>
  <c r="Q248" i="53"/>
  <c r="N248" i="53"/>
  <c r="R247" i="53"/>
  <c r="Q247" i="53"/>
  <c r="N247" i="53"/>
  <c r="Q246" i="53"/>
  <c r="N246" i="53"/>
  <c r="R246" i="53" s="1"/>
  <c r="Q245" i="53"/>
  <c r="N245" i="53"/>
  <c r="R245" i="53" s="1"/>
  <c r="R244" i="53"/>
  <c r="Q244" i="53"/>
  <c r="N244" i="53"/>
  <c r="R243" i="53"/>
  <c r="Q243" i="53"/>
  <c r="N243" i="53"/>
  <c r="Q242" i="53"/>
  <c r="N242" i="53"/>
  <c r="R242" i="53" s="1"/>
  <c r="R241" i="53"/>
  <c r="Q241" i="53"/>
  <c r="N241" i="53"/>
  <c r="R240" i="53"/>
  <c r="Q240" i="53"/>
  <c r="N240" i="53"/>
  <c r="R239" i="53"/>
  <c r="Q239" i="53"/>
  <c r="N239" i="53"/>
  <c r="Q238" i="53"/>
  <c r="N238" i="53"/>
  <c r="R238" i="53" s="1"/>
  <c r="R237" i="53"/>
  <c r="Q237" i="53"/>
  <c r="N237" i="53"/>
  <c r="R236" i="53"/>
  <c r="Q236" i="53"/>
  <c r="N236" i="53"/>
  <c r="R235" i="53"/>
  <c r="Q235" i="53"/>
  <c r="N235" i="53"/>
  <c r="Q234" i="53"/>
  <c r="N234" i="53"/>
  <c r="R234" i="53" s="1"/>
  <c r="R233" i="53"/>
  <c r="Q233" i="53"/>
  <c r="N233" i="53"/>
  <c r="R232" i="53"/>
  <c r="Q232" i="53"/>
  <c r="N232" i="53"/>
  <c r="R231" i="53"/>
  <c r="Q231" i="53"/>
  <c r="N231" i="53"/>
  <c r="Q230" i="53"/>
  <c r="N230" i="53"/>
  <c r="R230" i="53" s="1"/>
  <c r="R229" i="53"/>
  <c r="Q229" i="53"/>
  <c r="N229" i="53"/>
  <c r="R228" i="53"/>
  <c r="Q228" i="53"/>
  <c r="N228" i="53"/>
  <c r="R227" i="53"/>
  <c r="Q227" i="53"/>
  <c r="N227" i="53"/>
  <c r="Q226" i="53"/>
  <c r="N226" i="53"/>
  <c r="R226" i="53" s="1"/>
  <c r="Q225" i="53"/>
  <c r="N225" i="53"/>
  <c r="R225" i="53" s="1"/>
  <c r="R224" i="53"/>
  <c r="Q224" i="53"/>
  <c r="N224" i="53"/>
  <c r="R223" i="53"/>
  <c r="Q223" i="53"/>
  <c r="N223" i="53"/>
  <c r="Q222" i="53"/>
  <c r="N222" i="53"/>
  <c r="R222" i="53" s="1"/>
  <c r="Q221" i="53"/>
  <c r="N221" i="53"/>
  <c r="R221" i="53" s="1"/>
  <c r="R220" i="53"/>
  <c r="Q220" i="53"/>
  <c r="N220" i="53"/>
  <c r="R219" i="53"/>
  <c r="Q219" i="53"/>
  <c r="N219" i="53"/>
  <c r="Q218" i="53"/>
  <c r="N218" i="53"/>
  <c r="R218" i="53" s="1"/>
  <c r="Q217" i="53"/>
  <c r="N217" i="53"/>
  <c r="R217" i="53" s="1"/>
  <c r="R216" i="53"/>
  <c r="Q216" i="53"/>
  <c r="N216" i="53"/>
  <c r="R215" i="53"/>
  <c r="Q215" i="53"/>
  <c r="N215" i="53"/>
  <c r="Q214" i="53"/>
  <c r="N214" i="53"/>
  <c r="R214" i="53" s="1"/>
  <c r="Q213" i="53"/>
  <c r="N213" i="53"/>
  <c r="R213" i="53" s="1"/>
  <c r="R212" i="53"/>
  <c r="Q212" i="53"/>
  <c r="N212" i="53"/>
  <c r="R211" i="53"/>
  <c r="Q211" i="53"/>
  <c r="N211" i="53"/>
  <c r="Q210" i="53"/>
  <c r="N210" i="53"/>
  <c r="R210" i="53" s="1"/>
  <c r="Q209" i="53"/>
  <c r="N209" i="53"/>
  <c r="R209" i="53" s="1"/>
  <c r="R208" i="53"/>
  <c r="Q208" i="53"/>
  <c r="N208" i="53"/>
  <c r="R207" i="53"/>
  <c r="Q207" i="53"/>
  <c r="N207" i="53"/>
  <c r="Q206" i="53"/>
  <c r="N206" i="53"/>
  <c r="R206" i="53" s="1"/>
  <c r="Q205" i="53"/>
  <c r="N205" i="53"/>
  <c r="R205" i="53" s="1"/>
  <c r="R204" i="53"/>
  <c r="Q204" i="53"/>
  <c r="N204" i="53"/>
  <c r="R203" i="53"/>
  <c r="Q203" i="53"/>
  <c r="N203" i="53"/>
  <c r="Q202" i="53"/>
  <c r="N202" i="53"/>
  <c r="R202" i="53" s="1"/>
  <c r="R201" i="53"/>
  <c r="Q201" i="53"/>
  <c r="N201" i="53"/>
  <c r="R200" i="53"/>
  <c r="Q200" i="53"/>
  <c r="N200" i="53"/>
  <c r="R199" i="53"/>
  <c r="Q199" i="53"/>
  <c r="N199" i="53"/>
  <c r="Q198" i="53"/>
  <c r="N198" i="53"/>
  <c r="R198" i="53" s="1"/>
  <c r="Q197" i="53"/>
  <c r="N197" i="53"/>
  <c r="R197" i="53" s="1"/>
  <c r="R196" i="53"/>
  <c r="Q196" i="53"/>
  <c r="N196" i="53"/>
  <c r="R195" i="53"/>
  <c r="Q195" i="53"/>
  <c r="N195" i="53"/>
  <c r="Q194" i="53"/>
  <c r="N194" i="53"/>
  <c r="R194" i="53" s="1"/>
  <c r="R193" i="53"/>
  <c r="Q193" i="53"/>
  <c r="N193" i="53"/>
  <c r="R192" i="53"/>
  <c r="Q192" i="53"/>
  <c r="N192" i="53"/>
  <c r="R191" i="53"/>
  <c r="Q191" i="53"/>
  <c r="N191" i="53"/>
  <c r="Q190" i="53"/>
  <c r="N190" i="53"/>
  <c r="R190" i="53" s="1"/>
  <c r="R189" i="53"/>
  <c r="Q189" i="53"/>
  <c r="N189" i="53"/>
  <c r="R188" i="53"/>
  <c r="Q188" i="53"/>
  <c r="N188" i="53"/>
  <c r="R187" i="53"/>
  <c r="Q187" i="53"/>
  <c r="N187" i="53"/>
  <c r="Q186" i="53"/>
  <c r="N186" i="53"/>
  <c r="R186" i="53" s="1"/>
  <c r="R185" i="53"/>
  <c r="Q185" i="53"/>
  <c r="N185" i="53"/>
  <c r="R184" i="53"/>
  <c r="Q184" i="53"/>
  <c r="N184" i="53"/>
  <c r="R183" i="53"/>
  <c r="Q183" i="53"/>
  <c r="N183" i="53"/>
  <c r="Q182" i="53"/>
  <c r="N182" i="53"/>
  <c r="R182" i="53" s="1"/>
  <c r="R181" i="53"/>
  <c r="Q181" i="53"/>
  <c r="N181" i="53"/>
  <c r="R180" i="53"/>
  <c r="Q180" i="53"/>
  <c r="N180" i="53"/>
  <c r="R179" i="53"/>
  <c r="Q179" i="53"/>
  <c r="N179" i="53"/>
  <c r="Q178" i="53"/>
  <c r="N178" i="53"/>
  <c r="R178" i="53" s="1"/>
  <c r="Q177" i="53"/>
  <c r="N177" i="53"/>
  <c r="R177" i="53" s="1"/>
  <c r="R176" i="53"/>
  <c r="Q176" i="53"/>
  <c r="N176" i="53"/>
  <c r="R175" i="53"/>
  <c r="Q175" i="53"/>
  <c r="N175" i="53"/>
  <c r="Q174" i="53"/>
  <c r="N174" i="53"/>
  <c r="R174" i="53" s="1"/>
  <c r="Q173" i="53"/>
  <c r="N173" i="53"/>
  <c r="R173" i="53" s="1"/>
  <c r="R172" i="53"/>
  <c r="Q172" i="53"/>
  <c r="N172" i="53"/>
  <c r="R171" i="53"/>
  <c r="Q171" i="53"/>
  <c r="N171" i="53"/>
  <c r="Q170" i="53"/>
  <c r="N170" i="53"/>
  <c r="R170" i="53" s="1"/>
  <c r="Q169" i="53"/>
  <c r="N169" i="53"/>
  <c r="R169" i="53" s="1"/>
  <c r="R168" i="53"/>
  <c r="Q168" i="53"/>
  <c r="N168" i="53"/>
  <c r="R167" i="53"/>
  <c r="Q167" i="53"/>
  <c r="N167" i="53"/>
  <c r="Q166" i="53"/>
  <c r="N166" i="53"/>
  <c r="R166" i="53" s="1"/>
  <c r="Q165" i="53"/>
  <c r="N165" i="53"/>
  <c r="R165" i="53" s="1"/>
  <c r="R164" i="53"/>
  <c r="Q164" i="53"/>
  <c r="N164" i="53"/>
  <c r="R163" i="53"/>
  <c r="Q163" i="53"/>
  <c r="N163" i="53"/>
  <c r="Q162" i="53"/>
  <c r="N162" i="53"/>
  <c r="R162" i="53" s="1"/>
  <c r="Q161" i="53"/>
  <c r="N161" i="53"/>
  <c r="R161" i="53" s="1"/>
  <c r="R160" i="53"/>
  <c r="Q160" i="53"/>
  <c r="N160" i="53"/>
  <c r="R159" i="53"/>
  <c r="Q159" i="53"/>
  <c r="N159" i="53"/>
  <c r="Q158" i="53"/>
  <c r="N158" i="53"/>
  <c r="R158" i="53" s="1"/>
  <c r="Q157" i="53"/>
  <c r="N157" i="53"/>
  <c r="R157" i="53" s="1"/>
  <c r="R156" i="53"/>
  <c r="Q156" i="53"/>
  <c r="N156" i="53"/>
  <c r="R155" i="53"/>
  <c r="Q155" i="53"/>
  <c r="N155" i="53"/>
  <c r="Q154" i="53"/>
  <c r="N154" i="53"/>
  <c r="R154" i="53" s="1"/>
  <c r="R153" i="53"/>
  <c r="Q153" i="53"/>
  <c r="N153" i="53"/>
  <c r="R152" i="53"/>
  <c r="Q152" i="53"/>
  <c r="N152" i="53"/>
  <c r="R151" i="53"/>
  <c r="Q151" i="53"/>
  <c r="N151" i="53"/>
  <c r="Q150" i="53"/>
  <c r="N150" i="53"/>
  <c r="R150" i="53" s="1"/>
  <c r="Q149" i="53"/>
  <c r="N149" i="53"/>
  <c r="R149" i="53" s="1"/>
  <c r="R148" i="53"/>
  <c r="Q148" i="53"/>
  <c r="N148" i="53"/>
  <c r="R147" i="53"/>
  <c r="Q147" i="53"/>
  <c r="N147" i="53"/>
  <c r="Q146" i="53"/>
  <c r="N146" i="53"/>
  <c r="R146" i="53" s="1"/>
  <c r="R145" i="53"/>
  <c r="Q145" i="53"/>
  <c r="N145" i="53"/>
  <c r="R144" i="53"/>
  <c r="Q144" i="53"/>
  <c r="N144" i="53"/>
  <c r="R143" i="53"/>
  <c r="Q143" i="53"/>
  <c r="N143" i="53"/>
  <c r="Q142" i="53"/>
  <c r="N142" i="53"/>
  <c r="R142" i="53" s="1"/>
  <c r="R141" i="53"/>
  <c r="Q141" i="53"/>
  <c r="N141" i="53"/>
  <c r="R140" i="53"/>
  <c r="Q140" i="53"/>
  <c r="N140" i="53"/>
  <c r="R139" i="53"/>
  <c r="Q139" i="53"/>
  <c r="N139" i="53"/>
  <c r="Q138" i="53"/>
  <c r="N138" i="53"/>
  <c r="R138" i="53" s="1"/>
  <c r="R137" i="53"/>
  <c r="Q137" i="53"/>
  <c r="N137" i="53"/>
  <c r="R136" i="53"/>
  <c r="Q136" i="53"/>
  <c r="N136" i="53"/>
  <c r="R135" i="53"/>
  <c r="Q135" i="53"/>
  <c r="N135" i="53"/>
  <c r="Q134" i="53"/>
  <c r="N134" i="53"/>
  <c r="R134" i="53" s="1"/>
  <c r="R133" i="53"/>
  <c r="Q133" i="53"/>
  <c r="N133" i="53"/>
  <c r="R132" i="53"/>
  <c r="Q132" i="53"/>
  <c r="N132" i="53"/>
  <c r="R131" i="53"/>
  <c r="Q131" i="53"/>
  <c r="N131" i="53"/>
  <c r="Q130" i="53"/>
  <c r="N130" i="53"/>
  <c r="R130" i="53" s="1"/>
  <c r="Q129" i="53"/>
  <c r="N129" i="53"/>
  <c r="R129" i="53" s="1"/>
  <c r="R128" i="53"/>
  <c r="Q128" i="53"/>
  <c r="N128" i="53"/>
  <c r="R127" i="53"/>
  <c r="Q127" i="53"/>
  <c r="N127" i="53"/>
  <c r="Q126" i="53"/>
  <c r="N126" i="53"/>
  <c r="R126" i="53" s="1"/>
  <c r="Q125" i="53"/>
  <c r="N125" i="53"/>
  <c r="R125" i="53" s="1"/>
  <c r="R124" i="53"/>
  <c r="Q124" i="53"/>
  <c r="N124" i="53"/>
  <c r="R123" i="53"/>
  <c r="Q123" i="53"/>
  <c r="N123" i="53"/>
  <c r="Q122" i="53"/>
  <c r="N122" i="53"/>
  <c r="R122" i="53" s="1"/>
  <c r="Q121" i="53"/>
  <c r="N121" i="53"/>
  <c r="R121" i="53" s="1"/>
  <c r="R120" i="53"/>
  <c r="Q120" i="53"/>
  <c r="N120" i="53"/>
  <c r="R119" i="53"/>
  <c r="Q119" i="53"/>
  <c r="N119" i="53"/>
  <c r="Q118" i="53"/>
  <c r="N118" i="53"/>
  <c r="R118" i="53" s="1"/>
  <c r="Q117" i="53"/>
  <c r="N117" i="53"/>
  <c r="R117" i="53" s="1"/>
  <c r="R116" i="53"/>
  <c r="Q116" i="53"/>
  <c r="N116" i="53"/>
  <c r="R115" i="53"/>
  <c r="Q115" i="53"/>
  <c r="N115" i="53"/>
  <c r="Q114" i="53"/>
  <c r="N114" i="53"/>
  <c r="R114" i="53" s="1"/>
  <c r="Q113" i="53"/>
  <c r="N113" i="53"/>
  <c r="R113" i="53" s="1"/>
  <c r="R112" i="53"/>
  <c r="Q112" i="53"/>
  <c r="N112" i="53"/>
  <c r="R111" i="53"/>
  <c r="Q111" i="53"/>
  <c r="N111" i="53"/>
  <c r="Q110" i="53"/>
  <c r="N110" i="53"/>
  <c r="R110" i="53" s="1"/>
  <c r="Q109" i="53"/>
  <c r="N109" i="53"/>
  <c r="R109" i="53" s="1"/>
  <c r="R108" i="53"/>
  <c r="Q108" i="53"/>
  <c r="N108" i="53"/>
  <c r="R107" i="53"/>
  <c r="Q107" i="53"/>
  <c r="N107" i="53"/>
  <c r="Q106" i="53"/>
  <c r="N106" i="53"/>
  <c r="R106" i="53" s="1"/>
  <c r="R105" i="53"/>
  <c r="Q105" i="53"/>
  <c r="N105" i="53"/>
  <c r="R104" i="53"/>
  <c r="Q104" i="53"/>
  <c r="N104" i="53"/>
  <c r="R103" i="53"/>
  <c r="Q103" i="53"/>
  <c r="N103" i="53"/>
  <c r="Q102" i="53"/>
  <c r="N102" i="53"/>
  <c r="R102" i="53" s="1"/>
  <c r="Q101" i="53"/>
  <c r="N101" i="53"/>
  <c r="R101" i="53" s="1"/>
  <c r="R100" i="53"/>
  <c r="Q100" i="53"/>
  <c r="N100" i="53"/>
  <c r="R99" i="53"/>
  <c r="Q99" i="53"/>
  <c r="N99" i="53"/>
  <c r="Q98" i="53"/>
  <c r="N98" i="53"/>
  <c r="R98" i="53" s="1"/>
  <c r="R97" i="53"/>
  <c r="Q97" i="53"/>
  <c r="N97" i="53"/>
  <c r="R96" i="53"/>
  <c r="Q96" i="53"/>
  <c r="N96" i="53"/>
  <c r="R95" i="53"/>
  <c r="Q95" i="53"/>
  <c r="N95" i="53"/>
  <c r="Q94" i="53"/>
  <c r="N94" i="53"/>
  <c r="R94" i="53" s="1"/>
  <c r="R93" i="53"/>
  <c r="Q93" i="53"/>
  <c r="N93" i="53"/>
  <c r="R92" i="53"/>
  <c r="Q92" i="53"/>
  <c r="N92" i="53"/>
  <c r="R91" i="53"/>
  <c r="Q91" i="53"/>
  <c r="N91" i="53"/>
  <c r="Q90" i="53"/>
  <c r="N90" i="53"/>
  <c r="R90" i="53" s="1"/>
  <c r="R89" i="53"/>
  <c r="Q89" i="53"/>
  <c r="N89" i="53"/>
  <c r="R88" i="53"/>
  <c r="Q88" i="53"/>
  <c r="N88" i="53"/>
  <c r="R87" i="53"/>
  <c r="Q87" i="53"/>
  <c r="N87" i="53"/>
  <c r="Q86" i="53"/>
  <c r="N86" i="53"/>
  <c r="R86" i="53" s="1"/>
  <c r="R85" i="53"/>
  <c r="Q85" i="53"/>
  <c r="N85" i="53"/>
  <c r="R84" i="53"/>
  <c r="Q84" i="53"/>
  <c r="N84" i="53"/>
  <c r="R83" i="53"/>
  <c r="Q83" i="53"/>
  <c r="N83" i="53"/>
  <c r="Q82" i="53"/>
  <c r="N82" i="53"/>
  <c r="R82" i="53" s="1"/>
  <c r="Q81" i="53"/>
  <c r="N81" i="53"/>
  <c r="R81" i="53" s="1"/>
  <c r="R80" i="53"/>
  <c r="Q80" i="53"/>
  <c r="N80" i="53"/>
  <c r="R79" i="53"/>
  <c r="Q79" i="53"/>
  <c r="N79" i="53"/>
  <c r="Q78" i="53"/>
  <c r="N78" i="53"/>
  <c r="R78" i="53" s="1"/>
  <c r="Q77" i="53"/>
  <c r="N77" i="53"/>
  <c r="R77" i="53" s="1"/>
  <c r="R76" i="53"/>
  <c r="Q76" i="53"/>
  <c r="N76" i="53"/>
  <c r="R75" i="53"/>
  <c r="Q75" i="53"/>
  <c r="N75" i="53"/>
  <c r="Q74" i="53"/>
  <c r="N74" i="53"/>
  <c r="R74" i="53" s="1"/>
  <c r="Q73" i="53"/>
  <c r="N73" i="53"/>
  <c r="R73" i="53" s="1"/>
  <c r="R72" i="53"/>
  <c r="Q72" i="53"/>
  <c r="N72" i="53"/>
  <c r="R71" i="53"/>
  <c r="Q71" i="53"/>
  <c r="N71" i="53"/>
  <c r="Q70" i="53"/>
  <c r="N70" i="53"/>
  <c r="R70" i="53" s="1"/>
  <c r="Q69" i="53"/>
  <c r="N69" i="53"/>
  <c r="R69" i="53" s="1"/>
  <c r="R68" i="53"/>
  <c r="Q68" i="53"/>
  <c r="N68" i="53"/>
  <c r="R67" i="53"/>
  <c r="Q67" i="53"/>
  <c r="N67" i="53"/>
  <c r="Q66" i="53"/>
  <c r="N66" i="53"/>
  <c r="R66" i="53" s="1"/>
  <c r="Q65" i="53"/>
  <c r="N65" i="53"/>
  <c r="R65" i="53" s="1"/>
  <c r="R64" i="53"/>
  <c r="Q64" i="53"/>
  <c r="N64" i="53"/>
  <c r="R63" i="53"/>
  <c r="Q63" i="53"/>
  <c r="N63" i="53"/>
  <c r="Q62" i="53"/>
  <c r="N62" i="53"/>
  <c r="R62" i="53" s="1"/>
  <c r="Q61" i="53"/>
  <c r="N61" i="53"/>
  <c r="R61" i="53" s="1"/>
  <c r="R60" i="53"/>
  <c r="Q60" i="53"/>
  <c r="N60" i="53"/>
  <c r="R59" i="53"/>
  <c r="Q59" i="53"/>
  <c r="N59" i="53"/>
  <c r="Q58" i="53"/>
  <c r="N58" i="53"/>
  <c r="R58" i="53" s="1"/>
  <c r="Q57" i="53"/>
  <c r="N57" i="53"/>
  <c r="R57" i="53" s="1"/>
  <c r="R56" i="53"/>
  <c r="Q56" i="53"/>
  <c r="N56" i="53"/>
  <c r="R55" i="53"/>
  <c r="Q55" i="53"/>
  <c r="N55" i="53"/>
  <c r="Q54" i="53"/>
  <c r="N54" i="53"/>
  <c r="R54" i="53" s="1"/>
  <c r="Q53" i="53"/>
  <c r="N53" i="53"/>
  <c r="R53" i="53" s="1"/>
  <c r="R52" i="53"/>
  <c r="Q52" i="53"/>
  <c r="N52" i="53"/>
  <c r="R51" i="53"/>
  <c r="Q51" i="53"/>
  <c r="N51" i="53"/>
  <c r="Q50" i="53"/>
  <c r="N50" i="53"/>
  <c r="R50" i="53" s="1"/>
  <c r="R49" i="53"/>
  <c r="Q49" i="53"/>
  <c r="N49" i="53"/>
  <c r="R48" i="53"/>
  <c r="Q48" i="53"/>
  <c r="N48" i="53"/>
  <c r="R47" i="53"/>
  <c r="Q47" i="53"/>
  <c r="N47" i="53"/>
  <c r="Q46" i="53"/>
  <c r="N46" i="53"/>
  <c r="R46" i="53" s="1"/>
  <c r="R45" i="53"/>
  <c r="Q45" i="53"/>
  <c r="N45" i="53"/>
  <c r="R44" i="53"/>
  <c r="Q44" i="53"/>
  <c r="N44" i="53"/>
  <c r="R43" i="53"/>
  <c r="Q43" i="53"/>
  <c r="N43" i="53"/>
  <c r="Q42" i="53"/>
  <c r="N42" i="53"/>
  <c r="R42" i="53" s="1"/>
  <c r="R41" i="53"/>
  <c r="Q41" i="53"/>
  <c r="N41" i="53"/>
  <c r="R40" i="53"/>
  <c r="Q40" i="53"/>
  <c r="N40" i="53"/>
  <c r="R39" i="53"/>
  <c r="Q39" i="53"/>
  <c r="N39" i="53"/>
  <c r="Q38" i="53"/>
  <c r="N38" i="53"/>
  <c r="R38" i="53" s="1"/>
  <c r="R37" i="53"/>
  <c r="Q37" i="53"/>
  <c r="N37" i="53"/>
  <c r="R36" i="53"/>
  <c r="Q36" i="53"/>
  <c r="N36" i="53"/>
  <c r="R35" i="53"/>
  <c r="Q35" i="53"/>
  <c r="N35" i="53"/>
  <c r="Q34" i="53"/>
  <c r="N34" i="53"/>
  <c r="R34" i="53" s="1"/>
  <c r="Q33" i="53"/>
  <c r="N33" i="53"/>
  <c r="R33" i="53" s="1"/>
  <c r="R32" i="53"/>
  <c r="Q32" i="53"/>
  <c r="N32" i="53"/>
  <c r="R31" i="53"/>
  <c r="Q31" i="53"/>
  <c r="N31" i="53"/>
  <c r="Q30" i="53"/>
  <c r="N30" i="53"/>
  <c r="R30" i="53" s="1"/>
  <c r="Q29" i="53"/>
  <c r="N29" i="53"/>
  <c r="R29" i="53" s="1"/>
  <c r="R28" i="53"/>
  <c r="Q28" i="53"/>
  <c r="N28" i="53"/>
  <c r="R27" i="53"/>
  <c r="Q27" i="53"/>
  <c r="N27" i="53"/>
  <c r="Q26" i="53"/>
  <c r="N26" i="53"/>
  <c r="R26" i="53" s="1"/>
  <c r="Q25" i="53"/>
  <c r="N25" i="53"/>
  <c r="R25" i="53" s="1"/>
  <c r="R24" i="53"/>
  <c r="Q24" i="53"/>
  <c r="N24" i="53"/>
  <c r="R23" i="53"/>
  <c r="Q23" i="53"/>
  <c r="N23" i="53"/>
  <c r="Q22" i="53"/>
  <c r="N22" i="53"/>
  <c r="R22" i="53" s="1"/>
  <c r="Q21" i="53"/>
  <c r="N21" i="53"/>
  <c r="R21" i="53" s="1"/>
  <c r="R20" i="53"/>
  <c r="Q20" i="53"/>
  <c r="N20" i="53"/>
  <c r="R19" i="53"/>
  <c r="Q19" i="53"/>
  <c r="N19" i="53"/>
  <c r="Q18" i="53"/>
  <c r="N18" i="53"/>
  <c r="R18" i="53" s="1"/>
  <c r="Q17" i="53"/>
  <c r="N17" i="53"/>
  <c r="R17" i="53" s="1"/>
  <c r="R16" i="53"/>
  <c r="Q16" i="53"/>
  <c r="N16" i="53"/>
  <c r="R15" i="53"/>
  <c r="Q15" i="53"/>
  <c r="N15" i="53"/>
  <c r="Q14" i="53"/>
  <c r="N14" i="53"/>
  <c r="R14" i="53" s="1"/>
  <c r="Q13" i="53"/>
  <c r="N13" i="53"/>
  <c r="R13" i="53" s="1"/>
  <c r="R12" i="53"/>
  <c r="Q12" i="53"/>
  <c r="N12" i="53"/>
  <c r="R11" i="53"/>
  <c r="Q11" i="53"/>
  <c r="N11" i="53"/>
  <c r="Q10" i="53"/>
  <c r="N10" i="53"/>
  <c r="R10" i="53" s="1"/>
  <c r="Q9" i="53"/>
  <c r="N9" i="53"/>
  <c r="R9" i="53" s="1"/>
  <c r="R8" i="53"/>
  <c r="Q8" i="53"/>
  <c r="N8" i="53"/>
  <c r="R7" i="53"/>
  <c r="Q7" i="53"/>
  <c r="N7" i="53"/>
  <c r="Q6" i="53"/>
  <c r="N6" i="53"/>
  <c r="R6" i="53" s="1"/>
  <c r="L5" i="53"/>
  <c r="K5" i="53"/>
  <c r="N5" i="53" s="1"/>
  <c r="J5" i="53"/>
  <c r="I5" i="53"/>
  <c r="H5" i="53"/>
  <c r="G5" i="53"/>
  <c r="F5" i="53"/>
  <c r="E5" i="53"/>
  <c r="D5" i="53"/>
  <c r="C5" i="53"/>
  <c r="BK306" i="50"/>
  <c r="BK295" i="50"/>
  <c r="BK294" i="50"/>
  <c r="BK290" i="50"/>
  <c r="BK283" i="50"/>
  <c r="BK285" i="50"/>
  <c r="BK223" i="50"/>
  <c r="BK213" i="50"/>
  <c r="BK207" i="50"/>
  <c r="BK148" i="50"/>
  <c r="BK147" i="50"/>
  <c r="BK137" i="50"/>
  <c r="BK136" i="50"/>
  <c r="BK135" i="50"/>
  <c r="BK111" i="50"/>
  <c r="BK103" i="50"/>
  <c r="BK26" i="50"/>
  <c r="BK14" i="50"/>
  <c r="BI337" i="50"/>
  <c r="BK337" i="50" s="1"/>
  <c r="BF337" i="50"/>
  <c r="BJ337" i="50" s="1"/>
  <c r="BI336" i="50"/>
  <c r="BK336" i="50" s="1"/>
  <c r="BF336" i="50"/>
  <c r="BJ336" i="50" s="1"/>
  <c r="BI335" i="50"/>
  <c r="BK335" i="50" s="1"/>
  <c r="BF335" i="50"/>
  <c r="BJ335" i="50" s="1"/>
  <c r="BI334" i="50"/>
  <c r="BK334" i="50" s="1"/>
  <c r="BF334" i="50"/>
  <c r="BJ334" i="50" s="1"/>
  <c r="BI333" i="50"/>
  <c r="BK333" i="50" s="1"/>
  <c r="BF333" i="50"/>
  <c r="BJ333" i="50" s="1"/>
  <c r="BI332" i="50"/>
  <c r="BK332" i="50" s="1"/>
  <c r="BF332" i="50"/>
  <c r="BJ332" i="50" s="1"/>
  <c r="BI331" i="50"/>
  <c r="BK331" i="50" s="1"/>
  <c r="BF331" i="50"/>
  <c r="BJ331" i="50" s="1"/>
  <c r="BI330" i="50"/>
  <c r="BK330" i="50" s="1"/>
  <c r="BF330" i="50"/>
  <c r="BJ330" i="50" s="1"/>
  <c r="BI329" i="50"/>
  <c r="BK329" i="50" s="1"/>
  <c r="BF329" i="50"/>
  <c r="BJ329" i="50" s="1"/>
  <c r="BI328" i="50"/>
  <c r="BK328" i="50" s="1"/>
  <c r="BF328" i="50"/>
  <c r="BJ328" i="50" s="1"/>
  <c r="BI327" i="50"/>
  <c r="BK327" i="50" s="1"/>
  <c r="BF327" i="50"/>
  <c r="BJ327" i="50" s="1"/>
  <c r="BI326" i="50"/>
  <c r="BK326" i="50" s="1"/>
  <c r="BF326" i="50"/>
  <c r="BJ326" i="50" s="1"/>
  <c r="BI325" i="50"/>
  <c r="BK325" i="50" s="1"/>
  <c r="BF325" i="50"/>
  <c r="BJ325" i="50" s="1"/>
  <c r="BI324" i="50"/>
  <c r="BK324" i="50" s="1"/>
  <c r="BF324" i="50"/>
  <c r="BJ324" i="50" s="1"/>
  <c r="BI323" i="50"/>
  <c r="BK323" i="50" s="1"/>
  <c r="BF323" i="50"/>
  <c r="BJ323" i="50" s="1"/>
  <c r="BI322" i="50"/>
  <c r="BK322" i="50" s="1"/>
  <c r="BF322" i="50"/>
  <c r="BJ322" i="50" s="1"/>
  <c r="BI321" i="50"/>
  <c r="BK321" i="50" s="1"/>
  <c r="BF321" i="50"/>
  <c r="BJ321" i="50" s="1"/>
  <c r="BI320" i="50"/>
  <c r="BK320" i="50" s="1"/>
  <c r="BF320" i="50"/>
  <c r="BJ320" i="50" s="1"/>
  <c r="BI319" i="50"/>
  <c r="BK319" i="50" s="1"/>
  <c r="BF319" i="50"/>
  <c r="BJ319" i="50" s="1"/>
  <c r="BI318" i="50"/>
  <c r="BK318" i="50" s="1"/>
  <c r="BF318" i="50"/>
  <c r="BJ318" i="50" s="1"/>
  <c r="BI317" i="50"/>
  <c r="BK317" i="50" s="1"/>
  <c r="BF317" i="50"/>
  <c r="BJ317" i="50" s="1"/>
  <c r="BI316" i="50"/>
  <c r="BK316" i="50" s="1"/>
  <c r="BF316" i="50"/>
  <c r="BJ316" i="50" s="1"/>
  <c r="BI315" i="50"/>
  <c r="BK315" i="50" s="1"/>
  <c r="BF315" i="50"/>
  <c r="BJ315" i="50" s="1"/>
  <c r="BI314" i="50"/>
  <c r="BK314" i="50" s="1"/>
  <c r="BF314" i="50"/>
  <c r="BJ314" i="50" s="1"/>
  <c r="BI313" i="50"/>
  <c r="BK313" i="50" s="1"/>
  <c r="BF313" i="50"/>
  <c r="BJ313" i="50" s="1"/>
  <c r="BI312" i="50"/>
  <c r="BK312" i="50" s="1"/>
  <c r="BF312" i="50"/>
  <c r="BJ312" i="50" s="1"/>
  <c r="BI311" i="50"/>
  <c r="BK311" i="50" s="1"/>
  <c r="BF311" i="50"/>
  <c r="BJ311" i="50" s="1"/>
  <c r="BI310" i="50"/>
  <c r="BK310" i="50" s="1"/>
  <c r="BF310" i="50"/>
  <c r="BJ310" i="50" s="1"/>
  <c r="BI309" i="50"/>
  <c r="BK309" i="50" s="1"/>
  <c r="BF309" i="50"/>
  <c r="BJ309" i="50" s="1"/>
  <c r="BI308" i="50"/>
  <c r="BK308" i="50" s="1"/>
  <c r="BF308" i="50"/>
  <c r="BJ308" i="50" s="1"/>
  <c r="BI307" i="50"/>
  <c r="BK307" i="50" s="1"/>
  <c r="BF307" i="50"/>
  <c r="BJ307" i="50" s="1"/>
  <c r="BI306" i="50"/>
  <c r="BF306" i="50"/>
  <c r="BJ306" i="50" s="1"/>
  <c r="BI305" i="50"/>
  <c r="BK305" i="50" s="1"/>
  <c r="BF305" i="50"/>
  <c r="BJ305" i="50" s="1"/>
  <c r="BI304" i="50"/>
  <c r="BK304" i="50" s="1"/>
  <c r="BF304" i="50"/>
  <c r="BJ304" i="50" s="1"/>
  <c r="BI303" i="50"/>
  <c r="BK303" i="50" s="1"/>
  <c r="BF303" i="50"/>
  <c r="BJ303" i="50" s="1"/>
  <c r="BI302" i="50"/>
  <c r="BK302" i="50" s="1"/>
  <c r="BF302" i="50"/>
  <c r="BJ302" i="50" s="1"/>
  <c r="BI301" i="50"/>
  <c r="BK301" i="50" s="1"/>
  <c r="BF301" i="50"/>
  <c r="BJ301" i="50" s="1"/>
  <c r="BI300" i="50"/>
  <c r="BK300" i="50" s="1"/>
  <c r="BF300" i="50"/>
  <c r="BJ300" i="50" s="1"/>
  <c r="BI299" i="50"/>
  <c r="BK299" i="50" s="1"/>
  <c r="BF299" i="50"/>
  <c r="BJ299" i="50" s="1"/>
  <c r="BI298" i="50"/>
  <c r="BK298" i="50" s="1"/>
  <c r="BF298" i="50"/>
  <c r="BJ298" i="50" s="1"/>
  <c r="BI297" i="50"/>
  <c r="BK297" i="50" s="1"/>
  <c r="BF297" i="50"/>
  <c r="BJ297" i="50" s="1"/>
  <c r="BI296" i="50"/>
  <c r="BK296" i="50" s="1"/>
  <c r="BF296" i="50"/>
  <c r="BJ296" i="50" s="1"/>
  <c r="BI295" i="50"/>
  <c r="BF295" i="50"/>
  <c r="BJ295" i="50" s="1"/>
  <c r="BI294" i="50"/>
  <c r="BF294" i="50"/>
  <c r="BJ294" i="50" s="1"/>
  <c r="BI293" i="50"/>
  <c r="BK293" i="50" s="1"/>
  <c r="BF293" i="50"/>
  <c r="BJ293" i="50" s="1"/>
  <c r="BI292" i="50"/>
  <c r="BK292" i="50" s="1"/>
  <c r="BF292" i="50"/>
  <c r="BJ292" i="50" s="1"/>
  <c r="BI291" i="50"/>
  <c r="BK291" i="50" s="1"/>
  <c r="BF291" i="50"/>
  <c r="BJ291" i="50" s="1"/>
  <c r="BI290" i="50"/>
  <c r="BF290" i="50"/>
  <c r="BJ290" i="50" s="1"/>
  <c r="BI289" i="50"/>
  <c r="BK289" i="50" s="1"/>
  <c r="BF289" i="50"/>
  <c r="BJ289" i="50" s="1"/>
  <c r="BI288" i="50"/>
  <c r="BK288" i="50" s="1"/>
  <c r="BF288" i="50"/>
  <c r="BJ288" i="50" s="1"/>
  <c r="BI287" i="50"/>
  <c r="BK287" i="50" s="1"/>
  <c r="BF287" i="50"/>
  <c r="BJ287" i="50" s="1"/>
  <c r="BI286" i="50"/>
  <c r="BK286" i="50" s="1"/>
  <c r="BF286" i="50"/>
  <c r="BJ286" i="50" s="1"/>
  <c r="BI284" i="50"/>
  <c r="BK284" i="50" s="1"/>
  <c r="BF284" i="50"/>
  <c r="BJ284" i="50" s="1"/>
  <c r="BI282" i="50"/>
  <c r="BK282" i="50" s="1"/>
  <c r="BF282" i="50"/>
  <c r="BJ282" i="50" s="1"/>
  <c r="BI285" i="50"/>
  <c r="BF285" i="50"/>
  <c r="BJ285" i="50" s="1"/>
  <c r="BI281" i="50"/>
  <c r="BK281" i="50" s="1"/>
  <c r="BF281" i="50"/>
  <c r="BJ281" i="50" s="1"/>
  <c r="BI280" i="50"/>
  <c r="BK280" i="50" s="1"/>
  <c r="BF280" i="50"/>
  <c r="BJ280" i="50" s="1"/>
  <c r="BI279" i="50"/>
  <c r="BK279" i="50" s="1"/>
  <c r="BF279" i="50"/>
  <c r="BJ279" i="50" s="1"/>
  <c r="BI278" i="50"/>
  <c r="BK278" i="50" s="1"/>
  <c r="BF278" i="50"/>
  <c r="BJ278" i="50" s="1"/>
  <c r="BI277" i="50"/>
  <c r="BK277" i="50" s="1"/>
  <c r="BF277" i="50"/>
  <c r="BJ277" i="50" s="1"/>
  <c r="BI276" i="50"/>
  <c r="BK276" i="50" s="1"/>
  <c r="BF276" i="50"/>
  <c r="BJ276" i="50" s="1"/>
  <c r="BI275" i="50"/>
  <c r="BK275" i="50" s="1"/>
  <c r="BF275" i="50"/>
  <c r="BJ275" i="50" s="1"/>
  <c r="BI274" i="50"/>
  <c r="BK274" i="50" s="1"/>
  <c r="BF274" i="50"/>
  <c r="BJ274" i="50" s="1"/>
  <c r="BI273" i="50"/>
  <c r="BK273" i="50" s="1"/>
  <c r="BF273" i="50"/>
  <c r="BJ273" i="50" s="1"/>
  <c r="BI272" i="50"/>
  <c r="BK272" i="50" s="1"/>
  <c r="BF272" i="50"/>
  <c r="BJ272" i="50" s="1"/>
  <c r="BI271" i="50"/>
  <c r="BK271" i="50" s="1"/>
  <c r="BF271" i="50"/>
  <c r="BJ271" i="50" s="1"/>
  <c r="BI270" i="50"/>
  <c r="BK270" i="50" s="1"/>
  <c r="BF270" i="50"/>
  <c r="BJ270" i="50" s="1"/>
  <c r="BI269" i="50"/>
  <c r="BK269" i="50" s="1"/>
  <c r="BF269" i="50"/>
  <c r="BJ269" i="50" s="1"/>
  <c r="BI268" i="50"/>
  <c r="BK268" i="50" s="1"/>
  <c r="BF268" i="50"/>
  <c r="BJ268" i="50" s="1"/>
  <c r="BI267" i="50"/>
  <c r="BK267" i="50" s="1"/>
  <c r="BF267" i="50"/>
  <c r="BJ267" i="50" s="1"/>
  <c r="BI266" i="50"/>
  <c r="BK266" i="50" s="1"/>
  <c r="BF266" i="50"/>
  <c r="BJ266" i="50" s="1"/>
  <c r="BI265" i="50"/>
  <c r="BK265" i="50" s="1"/>
  <c r="BF265" i="50"/>
  <c r="BJ265" i="50" s="1"/>
  <c r="BI264" i="50"/>
  <c r="BK264" i="50" s="1"/>
  <c r="BF264" i="50"/>
  <c r="BJ264" i="50" s="1"/>
  <c r="BI263" i="50"/>
  <c r="BK263" i="50" s="1"/>
  <c r="BF263" i="50"/>
  <c r="BJ263" i="50" s="1"/>
  <c r="BI262" i="50"/>
  <c r="BK262" i="50" s="1"/>
  <c r="BF262" i="50"/>
  <c r="BJ262" i="50" s="1"/>
  <c r="BI261" i="50"/>
  <c r="BK261" i="50" s="1"/>
  <c r="BF261" i="50"/>
  <c r="BJ261" i="50" s="1"/>
  <c r="BI260" i="50"/>
  <c r="BK260" i="50" s="1"/>
  <c r="BF260" i="50"/>
  <c r="BJ260" i="50" s="1"/>
  <c r="BI259" i="50"/>
  <c r="BK259" i="50" s="1"/>
  <c r="BF259" i="50"/>
  <c r="BJ259" i="50" s="1"/>
  <c r="BI258" i="50"/>
  <c r="BK258" i="50" s="1"/>
  <c r="BF258" i="50"/>
  <c r="BJ258" i="50" s="1"/>
  <c r="BI257" i="50"/>
  <c r="BK257" i="50" s="1"/>
  <c r="BF257" i="50"/>
  <c r="BJ257" i="50" s="1"/>
  <c r="BI256" i="50"/>
  <c r="BK256" i="50" s="1"/>
  <c r="BF256" i="50"/>
  <c r="BJ256" i="50" s="1"/>
  <c r="BI255" i="50"/>
  <c r="BK255" i="50" s="1"/>
  <c r="BF255" i="50"/>
  <c r="BJ255" i="50" s="1"/>
  <c r="BI254" i="50"/>
  <c r="BK254" i="50" s="1"/>
  <c r="BF254" i="50"/>
  <c r="BJ254" i="50" s="1"/>
  <c r="BI253" i="50"/>
  <c r="BK253" i="50" s="1"/>
  <c r="BF253" i="50"/>
  <c r="BJ253" i="50" s="1"/>
  <c r="BI252" i="50"/>
  <c r="BK252" i="50" s="1"/>
  <c r="BF252" i="50"/>
  <c r="BJ252" i="50" s="1"/>
  <c r="BI251" i="50"/>
  <c r="BK251" i="50" s="1"/>
  <c r="BF251" i="50"/>
  <c r="BJ251" i="50" s="1"/>
  <c r="BI250" i="50"/>
  <c r="BK250" i="50" s="1"/>
  <c r="BF250" i="50"/>
  <c r="BJ250" i="50" s="1"/>
  <c r="BI249" i="50"/>
  <c r="BK249" i="50" s="1"/>
  <c r="BF249" i="50"/>
  <c r="BJ249" i="50" s="1"/>
  <c r="BI248" i="50"/>
  <c r="BK248" i="50" s="1"/>
  <c r="BF248" i="50"/>
  <c r="BJ248" i="50" s="1"/>
  <c r="BI247" i="50"/>
  <c r="BK247" i="50" s="1"/>
  <c r="BF247" i="50"/>
  <c r="BJ247" i="50" s="1"/>
  <c r="BI246" i="50"/>
  <c r="BK246" i="50" s="1"/>
  <c r="BF246" i="50"/>
  <c r="BJ246" i="50" s="1"/>
  <c r="BI245" i="50"/>
  <c r="BK245" i="50" s="1"/>
  <c r="BF245" i="50"/>
  <c r="BJ245" i="50" s="1"/>
  <c r="BI244" i="50"/>
  <c r="BK244" i="50" s="1"/>
  <c r="BF244" i="50"/>
  <c r="BJ244" i="50" s="1"/>
  <c r="BI243" i="50"/>
  <c r="BK243" i="50" s="1"/>
  <c r="BF243" i="50"/>
  <c r="BJ243" i="50" s="1"/>
  <c r="BI242" i="50"/>
  <c r="BK242" i="50" s="1"/>
  <c r="BF242" i="50"/>
  <c r="BJ242" i="50" s="1"/>
  <c r="BI241" i="50"/>
  <c r="BK241" i="50" s="1"/>
  <c r="BF241" i="50"/>
  <c r="BJ241" i="50" s="1"/>
  <c r="BI240" i="50"/>
  <c r="BK240" i="50" s="1"/>
  <c r="BF240" i="50"/>
  <c r="BJ240" i="50" s="1"/>
  <c r="BI239" i="50"/>
  <c r="BK239" i="50" s="1"/>
  <c r="BF239" i="50"/>
  <c r="BJ239" i="50" s="1"/>
  <c r="BI238" i="50"/>
  <c r="BK238" i="50" s="1"/>
  <c r="BF238" i="50"/>
  <c r="BJ238" i="50" s="1"/>
  <c r="BI237" i="50"/>
  <c r="BK237" i="50" s="1"/>
  <c r="BF237" i="50"/>
  <c r="BJ237" i="50" s="1"/>
  <c r="BI236" i="50"/>
  <c r="BK236" i="50" s="1"/>
  <c r="BF236" i="50"/>
  <c r="BJ236" i="50" s="1"/>
  <c r="BI235" i="50"/>
  <c r="BK235" i="50" s="1"/>
  <c r="BF235" i="50"/>
  <c r="BJ235" i="50" s="1"/>
  <c r="BI234" i="50"/>
  <c r="BK234" i="50" s="1"/>
  <c r="BF234" i="50"/>
  <c r="BJ234" i="50" s="1"/>
  <c r="BI233" i="50"/>
  <c r="BK233" i="50" s="1"/>
  <c r="BF233" i="50"/>
  <c r="BJ233" i="50" s="1"/>
  <c r="BI232" i="50"/>
  <c r="BK232" i="50" s="1"/>
  <c r="BF232" i="50"/>
  <c r="BJ232" i="50" s="1"/>
  <c r="BI231" i="50"/>
  <c r="BK231" i="50" s="1"/>
  <c r="BF231" i="50"/>
  <c r="BJ231" i="50" s="1"/>
  <c r="BI230" i="50"/>
  <c r="BK230" i="50" s="1"/>
  <c r="BF230" i="50"/>
  <c r="BJ230" i="50" s="1"/>
  <c r="BI229" i="50"/>
  <c r="BK229" i="50" s="1"/>
  <c r="BF229" i="50"/>
  <c r="BJ229" i="50" s="1"/>
  <c r="BI228" i="50"/>
  <c r="BK228" i="50" s="1"/>
  <c r="BF228" i="50"/>
  <c r="BJ228" i="50" s="1"/>
  <c r="BI227" i="50"/>
  <c r="BK227" i="50" s="1"/>
  <c r="BF227" i="50"/>
  <c r="BJ227" i="50" s="1"/>
  <c r="BI226" i="50"/>
  <c r="BK226" i="50" s="1"/>
  <c r="BF226" i="50"/>
  <c r="BJ226" i="50" s="1"/>
  <c r="BI225" i="50"/>
  <c r="BK225" i="50" s="1"/>
  <c r="BF225" i="50"/>
  <c r="BJ225" i="50" s="1"/>
  <c r="BI125" i="50"/>
  <c r="BK125" i="50" s="1"/>
  <c r="BF125" i="50"/>
  <c r="BJ125" i="50" s="1"/>
  <c r="BI224" i="50"/>
  <c r="BK224" i="50" s="1"/>
  <c r="BF224" i="50"/>
  <c r="BJ224" i="50" s="1"/>
  <c r="BI223" i="50"/>
  <c r="BF223" i="50"/>
  <c r="BJ223" i="50" s="1"/>
  <c r="BI222" i="50"/>
  <c r="BK222" i="50" s="1"/>
  <c r="BF222" i="50"/>
  <c r="BJ222" i="50" s="1"/>
  <c r="BI221" i="50"/>
  <c r="BK221" i="50" s="1"/>
  <c r="BF221" i="50"/>
  <c r="BJ221" i="50" s="1"/>
  <c r="BI220" i="50"/>
  <c r="BK220" i="50" s="1"/>
  <c r="BF220" i="50"/>
  <c r="BJ220" i="50" s="1"/>
  <c r="BI219" i="50"/>
  <c r="BK219" i="50" s="1"/>
  <c r="BF219" i="50"/>
  <c r="BJ219" i="50" s="1"/>
  <c r="BI218" i="50"/>
  <c r="BK218" i="50" s="1"/>
  <c r="BF218" i="50"/>
  <c r="BJ218" i="50" s="1"/>
  <c r="BI217" i="50"/>
  <c r="BK217" i="50" s="1"/>
  <c r="BF217" i="50"/>
  <c r="BJ217" i="50" s="1"/>
  <c r="BI216" i="50"/>
  <c r="BK216" i="50" s="1"/>
  <c r="BF216" i="50"/>
  <c r="BJ216" i="50" s="1"/>
  <c r="BI215" i="50"/>
  <c r="BK215" i="50" s="1"/>
  <c r="BF215" i="50"/>
  <c r="BJ215" i="50" s="1"/>
  <c r="BI214" i="50"/>
  <c r="BK214" i="50" s="1"/>
  <c r="BF214" i="50"/>
  <c r="BJ214" i="50" s="1"/>
  <c r="BI213" i="50"/>
  <c r="BF213" i="50"/>
  <c r="BJ213" i="50" s="1"/>
  <c r="BI212" i="50"/>
  <c r="BK212" i="50" s="1"/>
  <c r="BF212" i="50"/>
  <c r="BJ212" i="50" s="1"/>
  <c r="BI211" i="50"/>
  <c r="BK211" i="50" s="1"/>
  <c r="BF211" i="50"/>
  <c r="BJ211" i="50" s="1"/>
  <c r="BI210" i="50"/>
  <c r="BK210" i="50" s="1"/>
  <c r="BF210" i="50"/>
  <c r="BJ210" i="50" s="1"/>
  <c r="BI209" i="50"/>
  <c r="BK209" i="50" s="1"/>
  <c r="BF209" i="50"/>
  <c r="BJ209" i="50" s="1"/>
  <c r="BI208" i="50"/>
  <c r="BK208" i="50" s="1"/>
  <c r="BF208" i="50"/>
  <c r="BJ208" i="50" s="1"/>
  <c r="BI207" i="50"/>
  <c r="BF207" i="50"/>
  <c r="BJ207" i="50" s="1"/>
  <c r="BI206" i="50"/>
  <c r="BK206" i="50" s="1"/>
  <c r="BF206" i="50"/>
  <c r="BJ206" i="50" s="1"/>
  <c r="BI205" i="50"/>
  <c r="BK205" i="50" s="1"/>
  <c r="BF205" i="50"/>
  <c r="BJ205" i="50" s="1"/>
  <c r="BI204" i="50"/>
  <c r="BK204" i="50" s="1"/>
  <c r="BF204" i="50"/>
  <c r="BJ204" i="50" s="1"/>
  <c r="BI203" i="50"/>
  <c r="BK203" i="50" s="1"/>
  <c r="BF203" i="50"/>
  <c r="BJ203" i="50" s="1"/>
  <c r="BI202" i="50"/>
  <c r="BK202" i="50" s="1"/>
  <c r="BF202" i="50"/>
  <c r="BJ202" i="50" s="1"/>
  <c r="BI201" i="50"/>
  <c r="BK201" i="50" s="1"/>
  <c r="BF201" i="50"/>
  <c r="BJ201" i="50" s="1"/>
  <c r="BI200" i="50"/>
  <c r="BK200" i="50" s="1"/>
  <c r="BF200" i="50"/>
  <c r="BJ200" i="50" s="1"/>
  <c r="BI199" i="50"/>
  <c r="BK199" i="50" s="1"/>
  <c r="BF199" i="50"/>
  <c r="BJ199" i="50" s="1"/>
  <c r="BI198" i="50"/>
  <c r="BK198" i="50" s="1"/>
  <c r="BF198" i="50"/>
  <c r="BJ198" i="50" s="1"/>
  <c r="BI197" i="50"/>
  <c r="BK197" i="50" s="1"/>
  <c r="BF197" i="50"/>
  <c r="BJ197" i="50" s="1"/>
  <c r="BI196" i="50"/>
  <c r="BK196" i="50" s="1"/>
  <c r="BF196" i="50"/>
  <c r="BJ196" i="50" s="1"/>
  <c r="BI195" i="50"/>
  <c r="BK195" i="50" s="1"/>
  <c r="BF195" i="50"/>
  <c r="BJ195" i="50" s="1"/>
  <c r="BI194" i="50"/>
  <c r="BK194" i="50" s="1"/>
  <c r="BF194" i="50"/>
  <c r="BJ194" i="50" s="1"/>
  <c r="BI193" i="50"/>
  <c r="BK193" i="50" s="1"/>
  <c r="BF193" i="50"/>
  <c r="BJ193" i="50" s="1"/>
  <c r="BI192" i="50"/>
  <c r="BK192" i="50" s="1"/>
  <c r="BF192" i="50"/>
  <c r="BJ192" i="50" s="1"/>
  <c r="BI191" i="50"/>
  <c r="BK191" i="50" s="1"/>
  <c r="BF191" i="50"/>
  <c r="BJ191" i="50" s="1"/>
  <c r="BI190" i="50"/>
  <c r="BK190" i="50" s="1"/>
  <c r="BF190" i="50"/>
  <c r="BJ190" i="50" s="1"/>
  <c r="BI189" i="50"/>
  <c r="BK189" i="50" s="1"/>
  <c r="BF189" i="50"/>
  <c r="BJ189" i="50" s="1"/>
  <c r="BI188" i="50"/>
  <c r="BK188" i="50" s="1"/>
  <c r="BF188" i="50"/>
  <c r="BJ188" i="50" s="1"/>
  <c r="BI187" i="50"/>
  <c r="BK187" i="50" s="1"/>
  <c r="BF187" i="50"/>
  <c r="BJ187" i="50" s="1"/>
  <c r="BI186" i="50"/>
  <c r="BK186" i="50" s="1"/>
  <c r="BF186" i="50"/>
  <c r="BJ186" i="50" s="1"/>
  <c r="BI185" i="50"/>
  <c r="BK185" i="50" s="1"/>
  <c r="BF185" i="50"/>
  <c r="BJ185" i="50" s="1"/>
  <c r="BI184" i="50"/>
  <c r="BK184" i="50" s="1"/>
  <c r="BF184" i="50"/>
  <c r="BJ184" i="50" s="1"/>
  <c r="BI183" i="50"/>
  <c r="BK183" i="50" s="1"/>
  <c r="BF183" i="50"/>
  <c r="BJ183" i="50" s="1"/>
  <c r="BI182" i="50"/>
  <c r="BK182" i="50" s="1"/>
  <c r="BF182" i="50"/>
  <c r="BJ182" i="50" s="1"/>
  <c r="BI181" i="50"/>
  <c r="BK181" i="50" s="1"/>
  <c r="BF181" i="50"/>
  <c r="BJ181" i="50" s="1"/>
  <c r="BI180" i="50"/>
  <c r="BK180" i="50" s="1"/>
  <c r="BF180" i="50"/>
  <c r="BJ180" i="50" s="1"/>
  <c r="BI179" i="50"/>
  <c r="BK179" i="50" s="1"/>
  <c r="BF179" i="50"/>
  <c r="BJ179" i="50" s="1"/>
  <c r="BI178" i="50"/>
  <c r="BK178" i="50" s="1"/>
  <c r="BF178" i="50"/>
  <c r="BJ178" i="50" s="1"/>
  <c r="BI177" i="50"/>
  <c r="BK177" i="50" s="1"/>
  <c r="BF177" i="50"/>
  <c r="BJ177" i="50" s="1"/>
  <c r="BI176" i="50"/>
  <c r="BK176" i="50" s="1"/>
  <c r="BF176" i="50"/>
  <c r="BJ176" i="50" s="1"/>
  <c r="BI175" i="50"/>
  <c r="BK175" i="50" s="1"/>
  <c r="BF175" i="50"/>
  <c r="BJ175" i="50" s="1"/>
  <c r="BI174" i="50"/>
  <c r="BK174" i="50" s="1"/>
  <c r="BF174" i="50"/>
  <c r="BJ174" i="50" s="1"/>
  <c r="BI173" i="50"/>
  <c r="BK173" i="50" s="1"/>
  <c r="BF173" i="50"/>
  <c r="BJ173" i="50" s="1"/>
  <c r="BI172" i="50"/>
  <c r="BK172" i="50" s="1"/>
  <c r="BF172" i="50"/>
  <c r="BJ172" i="50" s="1"/>
  <c r="BI171" i="50"/>
  <c r="BK171" i="50" s="1"/>
  <c r="BF171" i="50"/>
  <c r="BJ171" i="50" s="1"/>
  <c r="BI170" i="50"/>
  <c r="BK170" i="50" s="1"/>
  <c r="BF170" i="50"/>
  <c r="BJ170" i="50" s="1"/>
  <c r="BI169" i="50"/>
  <c r="BK169" i="50" s="1"/>
  <c r="BF169" i="50"/>
  <c r="BJ169" i="50" s="1"/>
  <c r="BI168" i="50"/>
  <c r="BK168" i="50" s="1"/>
  <c r="BF168" i="50"/>
  <c r="BJ168" i="50" s="1"/>
  <c r="BI167" i="50"/>
  <c r="BK167" i="50" s="1"/>
  <c r="BF167" i="50"/>
  <c r="BJ167" i="50" s="1"/>
  <c r="BI166" i="50"/>
  <c r="BK166" i="50" s="1"/>
  <c r="BF166" i="50"/>
  <c r="BJ166" i="50" s="1"/>
  <c r="BI165" i="50"/>
  <c r="BK165" i="50" s="1"/>
  <c r="BF165" i="50"/>
  <c r="BJ165" i="50" s="1"/>
  <c r="BI164" i="50"/>
  <c r="BK164" i="50" s="1"/>
  <c r="BF164" i="50"/>
  <c r="BJ164" i="50" s="1"/>
  <c r="BI163" i="50"/>
  <c r="BK163" i="50" s="1"/>
  <c r="BF163" i="50"/>
  <c r="BJ163" i="50" s="1"/>
  <c r="BI162" i="50"/>
  <c r="BK162" i="50" s="1"/>
  <c r="BF162" i="50"/>
  <c r="BJ162" i="50" s="1"/>
  <c r="BI161" i="50"/>
  <c r="BK161" i="50" s="1"/>
  <c r="BF161" i="50"/>
  <c r="BJ161" i="50" s="1"/>
  <c r="BI160" i="50"/>
  <c r="BK160" i="50" s="1"/>
  <c r="BF160" i="50"/>
  <c r="BJ160" i="50" s="1"/>
  <c r="BI159" i="50"/>
  <c r="BK159" i="50" s="1"/>
  <c r="BF159" i="50"/>
  <c r="BJ159" i="50" s="1"/>
  <c r="BI158" i="50"/>
  <c r="BK158" i="50" s="1"/>
  <c r="BF158" i="50"/>
  <c r="BJ158" i="50" s="1"/>
  <c r="BI157" i="50"/>
  <c r="BK157" i="50" s="1"/>
  <c r="BF157" i="50"/>
  <c r="BJ157" i="50" s="1"/>
  <c r="BI156" i="50"/>
  <c r="BK156" i="50" s="1"/>
  <c r="BF156" i="50"/>
  <c r="BJ156" i="50" s="1"/>
  <c r="BI155" i="50"/>
  <c r="BK155" i="50" s="1"/>
  <c r="BF155" i="50"/>
  <c r="BJ155" i="50" s="1"/>
  <c r="BI154" i="50"/>
  <c r="BK154" i="50" s="1"/>
  <c r="BF154" i="50"/>
  <c r="BJ154" i="50" s="1"/>
  <c r="BI153" i="50"/>
  <c r="BK153" i="50" s="1"/>
  <c r="BF153" i="50"/>
  <c r="BJ153" i="50" s="1"/>
  <c r="BI152" i="50"/>
  <c r="BK152" i="50" s="1"/>
  <c r="BF152" i="50"/>
  <c r="BJ152" i="50" s="1"/>
  <c r="BI151" i="50"/>
  <c r="BK151" i="50" s="1"/>
  <c r="BF151" i="50"/>
  <c r="BJ151" i="50" s="1"/>
  <c r="BI150" i="50"/>
  <c r="BK150" i="50" s="1"/>
  <c r="BF150" i="50"/>
  <c r="BJ150" i="50" s="1"/>
  <c r="BI149" i="50"/>
  <c r="BK149" i="50" s="1"/>
  <c r="BF149" i="50"/>
  <c r="BJ149" i="50" s="1"/>
  <c r="BI148" i="50"/>
  <c r="BF148" i="50"/>
  <c r="BJ148" i="50" s="1"/>
  <c r="BI147" i="50"/>
  <c r="BF147" i="50"/>
  <c r="BJ147" i="50" s="1"/>
  <c r="BI146" i="50"/>
  <c r="BK146" i="50" s="1"/>
  <c r="BF146" i="50"/>
  <c r="BJ146" i="50" s="1"/>
  <c r="BI145" i="50"/>
  <c r="BK145" i="50" s="1"/>
  <c r="BF145" i="50"/>
  <c r="BJ145" i="50" s="1"/>
  <c r="BI144" i="50"/>
  <c r="BK144" i="50" s="1"/>
  <c r="BF144" i="50"/>
  <c r="BJ144" i="50" s="1"/>
  <c r="BI143" i="50"/>
  <c r="BK143" i="50" s="1"/>
  <c r="BF143" i="50"/>
  <c r="BJ143" i="50" s="1"/>
  <c r="BI142" i="50"/>
  <c r="BK142" i="50" s="1"/>
  <c r="BF142" i="50"/>
  <c r="BJ142" i="50" s="1"/>
  <c r="BI141" i="50"/>
  <c r="BK141" i="50" s="1"/>
  <c r="BF141" i="50"/>
  <c r="BJ141" i="50" s="1"/>
  <c r="BI140" i="50"/>
  <c r="BK140" i="50" s="1"/>
  <c r="BF140" i="50"/>
  <c r="BJ140" i="50" s="1"/>
  <c r="BI139" i="50"/>
  <c r="BK139" i="50" s="1"/>
  <c r="BF139" i="50"/>
  <c r="BJ139" i="50" s="1"/>
  <c r="BI138" i="50"/>
  <c r="BK138" i="50" s="1"/>
  <c r="BF138" i="50"/>
  <c r="BJ138" i="50" s="1"/>
  <c r="BJ137" i="50"/>
  <c r="BI137" i="50"/>
  <c r="BF137" i="50"/>
  <c r="BI136" i="50"/>
  <c r="BF136" i="50"/>
  <c r="BJ136" i="50" s="1"/>
  <c r="BI135" i="50"/>
  <c r="BF135" i="50"/>
  <c r="BJ135" i="50" s="1"/>
  <c r="BI134" i="50"/>
  <c r="BK134" i="50" s="1"/>
  <c r="BF134" i="50"/>
  <c r="BJ134" i="50" s="1"/>
  <c r="BI133" i="50"/>
  <c r="BK133" i="50" s="1"/>
  <c r="BF133" i="50"/>
  <c r="BJ133" i="50" s="1"/>
  <c r="BI132" i="50"/>
  <c r="BK132" i="50" s="1"/>
  <c r="BF132" i="50"/>
  <c r="BJ132" i="50" s="1"/>
  <c r="BI131" i="50"/>
  <c r="BK131" i="50" s="1"/>
  <c r="BF131" i="50"/>
  <c r="BJ131" i="50" s="1"/>
  <c r="BI130" i="50"/>
  <c r="BK130" i="50" s="1"/>
  <c r="BF130" i="50"/>
  <c r="BJ130" i="50" s="1"/>
  <c r="BI129" i="50"/>
  <c r="BK129" i="50" s="1"/>
  <c r="BF129" i="50"/>
  <c r="BJ129" i="50" s="1"/>
  <c r="BI128" i="50"/>
  <c r="BK128" i="50" s="1"/>
  <c r="BF128" i="50"/>
  <c r="BJ128" i="50" s="1"/>
  <c r="BI127" i="50"/>
  <c r="BK127" i="50" s="1"/>
  <c r="BF127" i="50"/>
  <c r="BJ127" i="50" s="1"/>
  <c r="BI126" i="50"/>
  <c r="BK126" i="50" s="1"/>
  <c r="BF126" i="50"/>
  <c r="BJ126" i="50" s="1"/>
  <c r="BI124" i="50"/>
  <c r="BK124" i="50" s="1"/>
  <c r="BF124" i="50"/>
  <c r="BJ124" i="50" s="1"/>
  <c r="BI123" i="50"/>
  <c r="BK123" i="50" s="1"/>
  <c r="BF123" i="50"/>
  <c r="BJ123" i="50" s="1"/>
  <c r="BI122" i="50"/>
  <c r="BK122" i="50" s="1"/>
  <c r="BF122" i="50"/>
  <c r="BJ122" i="50" s="1"/>
  <c r="BI121" i="50"/>
  <c r="BK121" i="50" s="1"/>
  <c r="BF121" i="50"/>
  <c r="BJ121" i="50" s="1"/>
  <c r="BI120" i="50"/>
  <c r="BK120" i="50" s="1"/>
  <c r="BF120" i="50"/>
  <c r="BJ120" i="50" s="1"/>
  <c r="BI119" i="50"/>
  <c r="BK119" i="50" s="1"/>
  <c r="BF119" i="50"/>
  <c r="BJ119" i="50" s="1"/>
  <c r="BI118" i="50"/>
  <c r="BK118" i="50" s="1"/>
  <c r="BF118" i="50"/>
  <c r="BJ118" i="50" s="1"/>
  <c r="BI117" i="50"/>
  <c r="BK117" i="50" s="1"/>
  <c r="BF117" i="50"/>
  <c r="BJ117" i="50" s="1"/>
  <c r="BI116" i="50"/>
  <c r="BK116" i="50" s="1"/>
  <c r="BF116" i="50"/>
  <c r="BJ116" i="50" s="1"/>
  <c r="BI115" i="50"/>
  <c r="BK115" i="50" s="1"/>
  <c r="BF115" i="50"/>
  <c r="BJ115" i="50" s="1"/>
  <c r="BI114" i="50"/>
  <c r="BK114" i="50" s="1"/>
  <c r="BF114" i="50"/>
  <c r="BJ114" i="50" s="1"/>
  <c r="BI113" i="50"/>
  <c r="BK113" i="50" s="1"/>
  <c r="BF113" i="50"/>
  <c r="BJ113" i="50" s="1"/>
  <c r="BI112" i="50"/>
  <c r="BK112" i="50" s="1"/>
  <c r="BF112" i="50"/>
  <c r="BJ112" i="50" s="1"/>
  <c r="BI111" i="50"/>
  <c r="BF111" i="50"/>
  <c r="BJ111" i="50" s="1"/>
  <c r="BI110" i="50"/>
  <c r="BK110" i="50" s="1"/>
  <c r="BF110" i="50"/>
  <c r="BJ110" i="50" s="1"/>
  <c r="BI109" i="50"/>
  <c r="BK109" i="50" s="1"/>
  <c r="BF109" i="50"/>
  <c r="BJ109" i="50" s="1"/>
  <c r="BI108" i="50"/>
  <c r="BK108" i="50" s="1"/>
  <c r="BF108" i="50"/>
  <c r="BJ108" i="50" s="1"/>
  <c r="BI107" i="50"/>
  <c r="BK107" i="50" s="1"/>
  <c r="BF107" i="50"/>
  <c r="BJ107" i="50" s="1"/>
  <c r="BI106" i="50"/>
  <c r="BK106" i="50" s="1"/>
  <c r="BF106" i="50"/>
  <c r="BJ106" i="50" s="1"/>
  <c r="BI105" i="50"/>
  <c r="BK105" i="50" s="1"/>
  <c r="BF105" i="50"/>
  <c r="BJ105" i="50" s="1"/>
  <c r="BI104" i="50"/>
  <c r="BK104" i="50" s="1"/>
  <c r="BF104" i="50"/>
  <c r="BJ104" i="50" s="1"/>
  <c r="BI103" i="50"/>
  <c r="BF103" i="50"/>
  <c r="BJ103" i="50" s="1"/>
  <c r="BI102" i="50"/>
  <c r="BK102" i="50" s="1"/>
  <c r="BF102" i="50"/>
  <c r="BJ102" i="50" s="1"/>
  <c r="BI101" i="50"/>
  <c r="BK101" i="50" s="1"/>
  <c r="BF101" i="50"/>
  <c r="BJ101" i="50" s="1"/>
  <c r="BI100" i="50"/>
  <c r="BK100" i="50" s="1"/>
  <c r="BF100" i="50"/>
  <c r="BJ100" i="50" s="1"/>
  <c r="BI99" i="50"/>
  <c r="BK99" i="50" s="1"/>
  <c r="BF99" i="50"/>
  <c r="BJ99" i="50" s="1"/>
  <c r="BI98" i="50"/>
  <c r="BK98" i="50" s="1"/>
  <c r="BF98" i="50"/>
  <c r="BJ98" i="50" s="1"/>
  <c r="BI97" i="50"/>
  <c r="BK97" i="50" s="1"/>
  <c r="BF97" i="50"/>
  <c r="BJ97" i="50" s="1"/>
  <c r="BI96" i="50"/>
  <c r="BK96" i="50" s="1"/>
  <c r="BF96" i="50"/>
  <c r="BJ96" i="50" s="1"/>
  <c r="BI95" i="50"/>
  <c r="BK95" i="50" s="1"/>
  <c r="BF95" i="50"/>
  <c r="BJ95" i="50" s="1"/>
  <c r="BI94" i="50"/>
  <c r="BK94" i="50" s="1"/>
  <c r="BF94" i="50"/>
  <c r="BJ94" i="50" s="1"/>
  <c r="BI93" i="50"/>
  <c r="BK93" i="50" s="1"/>
  <c r="BF93" i="50"/>
  <c r="BJ93" i="50" s="1"/>
  <c r="BI92" i="50"/>
  <c r="BK92" i="50" s="1"/>
  <c r="BF92" i="50"/>
  <c r="BJ92" i="50" s="1"/>
  <c r="BI91" i="50"/>
  <c r="BK91" i="50" s="1"/>
  <c r="BF91" i="50"/>
  <c r="BJ91" i="50" s="1"/>
  <c r="BI90" i="50"/>
  <c r="BK90" i="50" s="1"/>
  <c r="BF90" i="50"/>
  <c r="BJ90" i="50" s="1"/>
  <c r="BI89" i="50"/>
  <c r="BK89" i="50" s="1"/>
  <c r="BF89" i="50"/>
  <c r="BJ89" i="50" s="1"/>
  <c r="BI88" i="50"/>
  <c r="BK88" i="50" s="1"/>
  <c r="BF88" i="50"/>
  <c r="BJ88" i="50" s="1"/>
  <c r="BI87" i="50"/>
  <c r="BK87" i="50" s="1"/>
  <c r="BF87" i="50"/>
  <c r="BJ87" i="50" s="1"/>
  <c r="BI86" i="50"/>
  <c r="BK86" i="50" s="1"/>
  <c r="BF86" i="50"/>
  <c r="BJ86" i="50" s="1"/>
  <c r="BI85" i="50"/>
  <c r="BK85" i="50" s="1"/>
  <c r="BF85" i="50"/>
  <c r="BJ85" i="50" s="1"/>
  <c r="BI84" i="50"/>
  <c r="BK84" i="50" s="1"/>
  <c r="BF84" i="50"/>
  <c r="BJ84" i="50" s="1"/>
  <c r="BI83" i="50"/>
  <c r="BK83" i="50" s="1"/>
  <c r="BF83" i="50"/>
  <c r="BJ83" i="50" s="1"/>
  <c r="BI82" i="50"/>
  <c r="BK82" i="50" s="1"/>
  <c r="BF82" i="50"/>
  <c r="BJ82" i="50" s="1"/>
  <c r="BI81" i="50"/>
  <c r="BK81" i="50" s="1"/>
  <c r="BF81" i="50"/>
  <c r="BJ81" i="50" s="1"/>
  <c r="BI80" i="50"/>
  <c r="BK80" i="50" s="1"/>
  <c r="BF80" i="50"/>
  <c r="BJ80" i="50" s="1"/>
  <c r="BI79" i="50"/>
  <c r="BK79" i="50" s="1"/>
  <c r="BF79" i="50"/>
  <c r="BJ79" i="50" s="1"/>
  <c r="BI78" i="50"/>
  <c r="BK78" i="50" s="1"/>
  <c r="BF78" i="50"/>
  <c r="BJ78" i="50" s="1"/>
  <c r="BI77" i="50"/>
  <c r="BK77" i="50" s="1"/>
  <c r="BF77" i="50"/>
  <c r="BJ77" i="50" s="1"/>
  <c r="BI76" i="50"/>
  <c r="BK76" i="50" s="1"/>
  <c r="BF76" i="50"/>
  <c r="BJ76" i="50" s="1"/>
  <c r="BI75" i="50"/>
  <c r="BK75" i="50" s="1"/>
  <c r="BF75" i="50"/>
  <c r="BJ75" i="50" s="1"/>
  <c r="BI74" i="50"/>
  <c r="BK74" i="50" s="1"/>
  <c r="BF74" i="50"/>
  <c r="BJ74" i="50" s="1"/>
  <c r="BI73" i="50"/>
  <c r="BK73" i="50" s="1"/>
  <c r="BF73" i="50"/>
  <c r="BJ73" i="50" s="1"/>
  <c r="BI72" i="50"/>
  <c r="BK72" i="50" s="1"/>
  <c r="BF72" i="50"/>
  <c r="BJ72" i="50" s="1"/>
  <c r="BI71" i="50"/>
  <c r="BK71" i="50" s="1"/>
  <c r="BF71" i="50"/>
  <c r="BJ71" i="50" s="1"/>
  <c r="BI70" i="50"/>
  <c r="BK70" i="50" s="1"/>
  <c r="BF70" i="50"/>
  <c r="BJ70" i="50" s="1"/>
  <c r="BI69" i="50"/>
  <c r="BK69" i="50" s="1"/>
  <c r="BF69" i="50"/>
  <c r="BJ69" i="50" s="1"/>
  <c r="BI68" i="50"/>
  <c r="BK68" i="50" s="1"/>
  <c r="BF68" i="50"/>
  <c r="BJ68" i="50" s="1"/>
  <c r="BI67" i="50"/>
  <c r="BK67" i="50" s="1"/>
  <c r="BF67" i="50"/>
  <c r="BJ67" i="50" s="1"/>
  <c r="BI66" i="50"/>
  <c r="BK66" i="50" s="1"/>
  <c r="BF66" i="50"/>
  <c r="BJ66" i="50" s="1"/>
  <c r="BI65" i="50"/>
  <c r="BK65" i="50" s="1"/>
  <c r="BF65" i="50"/>
  <c r="BJ65" i="50" s="1"/>
  <c r="BI64" i="50"/>
  <c r="BK64" i="50" s="1"/>
  <c r="BF64" i="50"/>
  <c r="BJ64" i="50" s="1"/>
  <c r="BI63" i="50"/>
  <c r="BK63" i="50" s="1"/>
  <c r="BF63" i="50"/>
  <c r="BJ63" i="50" s="1"/>
  <c r="BI62" i="50"/>
  <c r="BK62" i="50" s="1"/>
  <c r="BF62" i="50"/>
  <c r="BJ62" i="50" s="1"/>
  <c r="BI61" i="50"/>
  <c r="BK61" i="50" s="1"/>
  <c r="BF61" i="50"/>
  <c r="BJ61" i="50" s="1"/>
  <c r="BI60" i="50"/>
  <c r="BK60" i="50" s="1"/>
  <c r="BF60" i="50"/>
  <c r="BJ60" i="50" s="1"/>
  <c r="BI59" i="50"/>
  <c r="BK59" i="50" s="1"/>
  <c r="BF59" i="50"/>
  <c r="BJ59" i="50" s="1"/>
  <c r="BI58" i="50"/>
  <c r="BK58" i="50" s="1"/>
  <c r="BF58" i="50"/>
  <c r="BJ58" i="50" s="1"/>
  <c r="BI57" i="50"/>
  <c r="BK57" i="50" s="1"/>
  <c r="BF57" i="50"/>
  <c r="BJ57" i="50" s="1"/>
  <c r="BI56" i="50"/>
  <c r="BK56" i="50" s="1"/>
  <c r="BF56" i="50"/>
  <c r="BJ56" i="50" s="1"/>
  <c r="BI55" i="50"/>
  <c r="BK55" i="50" s="1"/>
  <c r="BF55" i="50"/>
  <c r="BJ55" i="50" s="1"/>
  <c r="BI54" i="50"/>
  <c r="BK54" i="50" s="1"/>
  <c r="BF54" i="50"/>
  <c r="BJ54" i="50" s="1"/>
  <c r="BI53" i="50"/>
  <c r="BK53" i="50" s="1"/>
  <c r="BF53" i="50"/>
  <c r="BJ53" i="50" s="1"/>
  <c r="BI52" i="50"/>
  <c r="BK52" i="50" s="1"/>
  <c r="BF52" i="50"/>
  <c r="BJ52" i="50" s="1"/>
  <c r="BI51" i="50"/>
  <c r="BK51" i="50" s="1"/>
  <c r="BF51" i="50"/>
  <c r="BJ51" i="50" s="1"/>
  <c r="BI50" i="50"/>
  <c r="BK50" i="50" s="1"/>
  <c r="BF50" i="50"/>
  <c r="BJ50" i="50" s="1"/>
  <c r="BI49" i="50"/>
  <c r="BK49" i="50" s="1"/>
  <c r="BF49" i="50"/>
  <c r="BJ49" i="50" s="1"/>
  <c r="BI48" i="50"/>
  <c r="BK48" i="50" s="1"/>
  <c r="BF48" i="50"/>
  <c r="BJ48" i="50" s="1"/>
  <c r="BI47" i="50"/>
  <c r="BK47" i="50" s="1"/>
  <c r="BF47" i="50"/>
  <c r="BJ47" i="50" s="1"/>
  <c r="BI46" i="50"/>
  <c r="BK46" i="50" s="1"/>
  <c r="BF46" i="50"/>
  <c r="BJ46" i="50" s="1"/>
  <c r="BI45" i="50"/>
  <c r="BK45" i="50" s="1"/>
  <c r="BF45" i="50"/>
  <c r="BJ45" i="50" s="1"/>
  <c r="BI44" i="50"/>
  <c r="BK44" i="50" s="1"/>
  <c r="BF44" i="50"/>
  <c r="BJ44" i="50" s="1"/>
  <c r="BI43" i="50"/>
  <c r="BK43" i="50" s="1"/>
  <c r="BF43" i="50"/>
  <c r="BJ43" i="50" s="1"/>
  <c r="BI42" i="50"/>
  <c r="BK42" i="50" s="1"/>
  <c r="BF42" i="50"/>
  <c r="BJ42" i="50" s="1"/>
  <c r="BI41" i="50"/>
  <c r="BK41" i="50" s="1"/>
  <c r="BF41" i="50"/>
  <c r="BJ41" i="50" s="1"/>
  <c r="BI40" i="50"/>
  <c r="BK40" i="50" s="1"/>
  <c r="BF40" i="50"/>
  <c r="BJ40" i="50" s="1"/>
  <c r="BI39" i="50"/>
  <c r="BK39" i="50" s="1"/>
  <c r="BF39" i="50"/>
  <c r="BJ39" i="50" s="1"/>
  <c r="BI38" i="50"/>
  <c r="BK38" i="50" s="1"/>
  <c r="BF38" i="50"/>
  <c r="BJ38" i="50" s="1"/>
  <c r="BI37" i="50"/>
  <c r="BK37" i="50" s="1"/>
  <c r="BF37" i="50"/>
  <c r="BJ37" i="50" s="1"/>
  <c r="BI36" i="50"/>
  <c r="BK36" i="50" s="1"/>
  <c r="BF36" i="50"/>
  <c r="BJ36" i="50" s="1"/>
  <c r="BI35" i="50"/>
  <c r="BK35" i="50" s="1"/>
  <c r="BF35" i="50"/>
  <c r="BJ35" i="50" s="1"/>
  <c r="BI34" i="50"/>
  <c r="BK34" i="50" s="1"/>
  <c r="BF34" i="50"/>
  <c r="BJ34" i="50" s="1"/>
  <c r="BI33" i="50"/>
  <c r="BK33" i="50" s="1"/>
  <c r="BF33" i="50"/>
  <c r="BJ33" i="50" s="1"/>
  <c r="BI32" i="50"/>
  <c r="BK32" i="50" s="1"/>
  <c r="BF32" i="50"/>
  <c r="BJ32" i="50" s="1"/>
  <c r="BI31" i="50"/>
  <c r="BK31" i="50" s="1"/>
  <c r="BF31" i="50"/>
  <c r="BJ31" i="50" s="1"/>
  <c r="BI30" i="50"/>
  <c r="BK30" i="50" s="1"/>
  <c r="BF30" i="50"/>
  <c r="BJ30" i="50" s="1"/>
  <c r="BI29" i="50"/>
  <c r="BK29" i="50" s="1"/>
  <c r="BF29" i="50"/>
  <c r="BJ29" i="50" s="1"/>
  <c r="BI28" i="50"/>
  <c r="BK28" i="50" s="1"/>
  <c r="BF28" i="50"/>
  <c r="BJ28" i="50" s="1"/>
  <c r="BI27" i="50"/>
  <c r="BK27" i="50" s="1"/>
  <c r="BF27" i="50"/>
  <c r="BJ27" i="50" s="1"/>
  <c r="BI26" i="50"/>
  <c r="BF26" i="50"/>
  <c r="BJ26" i="50" s="1"/>
  <c r="BI25" i="50"/>
  <c r="BK25" i="50" s="1"/>
  <c r="BF25" i="50"/>
  <c r="BJ25" i="50" s="1"/>
  <c r="BI24" i="50"/>
  <c r="BK24" i="50" s="1"/>
  <c r="BF24" i="50"/>
  <c r="BJ24" i="50" s="1"/>
  <c r="BI23" i="50"/>
  <c r="BK23" i="50" s="1"/>
  <c r="BF23" i="50"/>
  <c r="BJ23" i="50" s="1"/>
  <c r="BI22" i="50"/>
  <c r="BK22" i="50" s="1"/>
  <c r="BF22" i="50"/>
  <c r="BJ22" i="50" s="1"/>
  <c r="BI21" i="50"/>
  <c r="BK21" i="50" s="1"/>
  <c r="BF21" i="50"/>
  <c r="BJ21" i="50" s="1"/>
  <c r="BI20" i="50"/>
  <c r="BK20" i="50" s="1"/>
  <c r="BF20" i="50"/>
  <c r="BJ20" i="50" s="1"/>
  <c r="BI19" i="50"/>
  <c r="BK19" i="50" s="1"/>
  <c r="BF19" i="50"/>
  <c r="BJ19" i="50" s="1"/>
  <c r="BI18" i="50"/>
  <c r="BK18" i="50" s="1"/>
  <c r="BF18" i="50"/>
  <c r="BJ18" i="50" s="1"/>
  <c r="BI17" i="50"/>
  <c r="BK17" i="50" s="1"/>
  <c r="BF17" i="50"/>
  <c r="BJ17" i="50" s="1"/>
  <c r="BI16" i="50"/>
  <c r="BK16" i="50" s="1"/>
  <c r="BF16" i="50"/>
  <c r="BJ16" i="50" s="1"/>
  <c r="BI15" i="50"/>
  <c r="BK15" i="50" s="1"/>
  <c r="BF15" i="50"/>
  <c r="BJ15" i="50" s="1"/>
  <c r="BI14" i="50"/>
  <c r="BF14" i="50"/>
  <c r="BJ14" i="50" s="1"/>
  <c r="BI13" i="50"/>
  <c r="BK13" i="50" s="1"/>
  <c r="BF13" i="50"/>
  <c r="BJ13" i="50" s="1"/>
  <c r="BI12" i="50"/>
  <c r="BK12" i="50" s="1"/>
  <c r="BF12" i="50"/>
  <c r="BJ12" i="50" s="1"/>
  <c r="BI11" i="50"/>
  <c r="BK11" i="50" s="1"/>
  <c r="BF11" i="50"/>
  <c r="BJ11" i="50" s="1"/>
  <c r="BI10" i="50"/>
  <c r="BK10" i="50" s="1"/>
  <c r="BF10" i="50"/>
  <c r="BJ10" i="50" s="1"/>
  <c r="BI9" i="50"/>
  <c r="BK9" i="50" s="1"/>
  <c r="BF9" i="50"/>
  <c r="BJ9" i="50" s="1"/>
  <c r="BI8" i="50"/>
  <c r="BK8" i="50" s="1"/>
  <c r="BF8" i="50"/>
  <c r="BJ8" i="50" s="1"/>
  <c r="BD7" i="50"/>
  <c r="BC7" i="50"/>
  <c r="BB7" i="50"/>
  <c r="BA7" i="50"/>
  <c r="AZ7" i="50"/>
  <c r="AX7" i="50"/>
  <c r="AW7" i="50"/>
  <c r="AV7" i="50"/>
  <c r="AU7" i="50"/>
  <c r="AJ334" i="50"/>
  <c r="AJ84" i="50"/>
  <c r="AJ172" i="50"/>
  <c r="AJ321" i="50"/>
  <c r="AJ313" i="50"/>
  <c r="AJ337" i="50"/>
  <c r="AJ107" i="50"/>
  <c r="AJ114" i="50"/>
  <c r="AJ297" i="50"/>
  <c r="AJ287" i="50"/>
  <c r="AJ106" i="50"/>
  <c r="AJ154" i="50"/>
  <c r="AJ255" i="50"/>
  <c r="AJ71" i="50"/>
  <c r="AJ335" i="50"/>
  <c r="AJ178" i="50"/>
  <c r="AJ303" i="50"/>
  <c r="AJ194" i="50"/>
  <c r="AJ273" i="50"/>
  <c r="AJ249" i="50"/>
  <c r="AJ78" i="50"/>
  <c r="AJ50" i="50"/>
  <c r="AJ279" i="50"/>
  <c r="AJ102" i="50"/>
  <c r="AJ212" i="50"/>
  <c r="AJ48" i="50"/>
  <c r="AJ226" i="50"/>
  <c r="AJ292" i="50"/>
  <c r="AJ144" i="50"/>
  <c r="AJ139" i="50"/>
  <c r="AJ151" i="50"/>
  <c r="AJ322" i="50"/>
  <c r="AJ173" i="50"/>
  <c r="AJ184" i="50"/>
  <c r="AJ164" i="50"/>
  <c r="AJ153" i="50"/>
  <c r="AJ22" i="50"/>
  <c r="AJ97" i="50"/>
  <c r="AJ18" i="50"/>
  <c r="AJ224" i="50"/>
  <c r="AJ311" i="50"/>
  <c r="AJ52" i="50"/>
  <c r="AJ298" i="50"/>
  <c r="AJ49" i="50"/>
  <c r="AJ312" i="50"/>
  <c r="AJ69" i="50"/>
  <c r="AJ309" i="50"/>
  <c r="AJ308" i="50"/>
  <c r="AJ86" i="50"/>
  <c r="AJ293" i="50"/>
  <c r="AJ246" i="50"/>
  <c r="AJ112" i="50"/>
  <c r="AJ234" i="50"/>
  <c r="AJ200" i="50"/>
  <c r="AJ302" i="50"/>
  <c r="AJ190" i="50"/>
  <c r="AJ336" i="50"/>
  <c r="AJ133" i="50"/>
  <c r="AJ191" i="50"/>
  <c r="AJ158" i="50"/>
  <c r="AJ51" i="50"/>
  <c r="AJ95" i="50"/>
  <c r="AJ285" i="50"/>
  <c r="AJ148" i="50"/>
  <c r="AJ53" i="50"/>
  <c r="AJ305" i="50"/>
  <c r="AJ318" i="50"/>
  <c r="AJ42" i="50"/>
  <c r="AJ203" i="50"/>
  <c r="AJ125" i="50"/>
  <c r="AJ150" i="50"/>
  <c r="AJ271" i="50"/>
  <c r="AJ83" i="50"/>
  <c r="AJ244" i="50"/>
  <c r="AJ67" i="50"/>
  <c r="AJ320" i="50"/>
  <c r="AJ145" i="50"/>
  <c r="AJ70" i="50"/>
  <c r="AJ41" i="50"/>
  <c r="AJ101" i="50"/>
  <c r="AJ38" i="50"/>
  <c r="AJ161" i="50"/>
  <c r="AJ162" i="50"/>
  <c r="AJ183" i="50"/>
  <c r="AJ110" i="50"/>
  <c r="AJ205" i="50"/>
  <c r="AJ270" i="50"/>
  <c r="AJ274" i="50"/>
  <c r="AJ108" i="50"/>
  <c r="AJ64" i="50"/>
  <c r="AJ281" i="50"/>
  <c r="AJ143" i="50"/>
  <c r="AJ263" i="50"/>
  <c r="AJ167" i="50"/>
  <c r="AJ124" i="50"/>
  <c r="AJ159" i="50"/>
  <c r="AJ12" i="50"/>
  <c r="AJ75" i="50"/>
  <c r="AJ177" i="50"/>
  <c r="AJ141" i="50"/>
  <c r="AJ93" i="50"/>
  <c r="AJ280" i="50"/>
  <c r="AJ166" i="50"/>
  <c r="AJ174" i="50"/>
  <c r="AJ261" i="50"/>
  <c r="AJ91" i="50"/>
  <c r="AJ175" i="50"/>
  <c r="AJ55" i="50"/>
  <c r="AJ137" i="50"/>
  <c r="AJ11" i="50"/>
  <c r="AJ254" i="50"/>
  <c r="AJ28" i="50"/>
  <c r="AJ54" i="50"/>
  <c r="AJ251" i="50"/>
  <c r="AJ149" i="50"/>
  <c r="AJ204" i="50"/>
  <c r="AJ258" i="50"/>
  <c r="AJ283" i="50"/>
  <c r="AJ120" i="50"/>
  <c r="AJ43" i="50"/>
  <c r="AJ98" i="50"/>
  <c r="AJ324" i="50"/>
  <c r="AJ74" i="50"/>
  <c r="AJ20" i="50"/>
  <c r="AJ100" i="50"/>
  <c r="AJ218" i="50"/>
  <c r="AJ47" i="50"/>
  <c r="AJ209" i="50"/>
  <c r="AJ68" i="50"/>
  <c r="AJ286" i="50"/>
  <c r="AJ304" i="50"/>
  <c r="AJ31" i="50"/>
  <c r="AJ289" i="50"/>
  <c r="AJ227" i="50"/>
  <c r="AJ278" i="50"/>
  <c r="AJ256" i="50"/>
  <c r="AJ62" i="50"/>
  <c r="AJ182" i="50"/>
  <c r="AJ189" i="50"/>
  <c r="AJ328" i="50"/>
  <c r="AJ180" i="50"/>
  <c r="AJ266" i="50"/>
  <c r="AJ237" i="50"/>
  <c r="AJ196" i="50"/>
  <c r="AJ213" i="50"/>
  <c r="AJ208" i="50"/>
  <c r="AJ296" i="50"/>
  <c r="AJ165" i="50"/>
  <c r="AJ215" i="50"/>
  <c r="AJ25" i="50"/>
  <c r="AJ199" i="50"/>
  <c r="AJ201" i="50"/>
  <c r="AJ181" i="50"/>
  <c r="AJ117" i="50"/>
  <c r="AJ188" i="50"/>
  <c r="AJ220" i="50"/>
  <c r="AJ157" i="50"/>
  <c r="AJ259" i="50"/>
  <c r="AJ109" i="50"/>
  <c r="AJ269" i="50"/>
  <c r="AJ65" i="50"/>
  <c r="AJ113" i="50"/>
  <c r="AJ327" i="50"/>
  <c r="AJ198" i="50"/>
  <c r="AJ60" i="50"/>
  <c r="AJ10" i="50"/>
  <c r="AJ238" i="50"/>
  <c r="AJ272" i="50"/>
  <c r="AJ39" i="50"/>
  <c r="AJ323" i="50"/>
  <c r="AJ40" i="50"/>
  <c r="AJ217" i="50"/>
  <c r="AJ202" i="50"/>
  <c r="AJ295" i="50"/>
  <c r="AJ23" i="50"/>
  <c r="AJ330" i="50"/>
  <c r="AJ9" i="50"/>
  <c r="AJ169" i="50"/>
  <c r="AJ171" i="50"/>
  <c r="AJ92" i="50"/>
  <c r="AJ179" i="50"/>
  <c r="AJ152" i="50"/>
  <c r="AJ325" i="50"/>
  <c r="AJ104" i="50"/>
  <c r="AJ247" i="50"/>
  <c r="AJ136" i="50"/>
  <c r="AJ103" i="50"/>
  <c r="AJ300" i="50"/>
  <c r="AJ36" i="50"/>
  <c r="AJ21" i="50"/>
  <c r="AJ332" i="50"/>
  <c r="AJ46" i="50"/>
  <c r="AJ135" i="50"/>
  <c r="AJ76" i="50"/>
  <c r="AJ294" i="50"/>
  <c r="AJ73" i="50"/>
  <c r="AJ63" i="50"/>
  <c r="AJ288" i="50"/>
  <c r="AJ35" i="50"/>
  <c r="AJ87" i="50"/>
  <c r="AJ267" i="50"/>
  <c r="AJ37" i="50"/>
  <c r="AJ187" i="50"/>
  <c r="AJ15" i="50"/>
  <c r="AJ24" i="50"/>
  <c r="AJ119" i="50"/>
  <c r="AJ326" i="50"/>
  <c r="AJ122" i="50"/>
  <c r="AJ121" i="50"/>
  <c r="AJ236" i="50"/>
  <c r="AJ235" i="50"/>
  <c r="AJ282" i="50"/>
  <c r="AJ176" i="50"/>
  <c r="AJ284" i="50"/>
  <c r="AJ88" i="50"/>
  <c r="AJ192" i="50"/>
  <c r="AJ132" i="50"/>
  <c r="AJ142" i="50"/>
  <c r="AJ260" i="50"/>
  <c r="AJ126" i="50"/>
  <c r="AJ264" i="50"/>
  <c r="AJ291" i="50"/>
  <c r="AJ14" i="50"/>
  <c r="AJ245" i="50"/>
  <c r="AJ301" i="50"/>
  <c r="AJ17" i="50"/>
  <c r="AJ262" i="50"/>
  <c r="AJ239" i="50"/>
  <c r="AJ307" i="50"/>
  <c r="AJ115" i="50"/>
  <c r="AJ163" i="50"/>
  <c r="AJ80" i="50"/>
  <c r="AJ96" i="50"/>
  <c r="AJ253" i="50"/>
  <c r="AJ223" i="50"/>
  <c r="AJ44" i="50"/>
  <c r="AJ229" i="50"/>
  <c r="AJ27" i="50"/>
  <c r="AJ228" i="50"/>
  <c r="AJ268" i="50"/>
  <c r="AJ58" i="50"/>
  <c r="AJ193" i="50"/>
  <c r="AJ195" i="50"/>
  <c r="AJ197" i="50"/>
  <c r="AJ331" i="50"/>
  <c r="AJ252" i="50"/>
  <c r="AJ56" i="50"/>
  <c r="AJ232" i="50"/>
  <c r="AJ290" i="50"/>
  <c r="AJ77" i="50"/>
  <c r="AJ168" i="50"/>
  <c r="AJ160" i="50"/>
  <c r="AJ185" i="50"/>
  <c r="AJ118" i="50"/>
  <c r="AJ8" i="50"/>
  <c r="AJ105" i="50"/>
  <c r="AJ329" i="50"/>
  <c r="AJ81" i="50"/>
  <c r="AJ170" i="50"/>
  <c r="AJ250" i="50"/>
  <c r="AJ265" i="50"/>
  <c r="AJ57" i="50"/>
  <c r="AJ314" i="50"/>
  <c r="AJ233" i="50"/>
  <c r="AJ310" i="50"/>
  <c r="AJ221" i="50"/>
  <c r="AJ89" i="50"/>
  <c r="AJ127" i="50"/>
  <c r="AJ275" i="50"/>
  <c r="AJ186" i="50"/>
  <c r="AJ214" i="50"/>
  <c r="AJ240" i="50"/>
  <c r="AJ123" i="50"/>
  <c r="AJ206" i="50"/>
  <c r="AJ61" i="50"/>
  <c r="AJ129" i="50"/>
  <c r="AJ317" i="50"/>
  <c r="AJ155" i="50"/>
  <c r="AJ72" i="50"/>
  <c r="AJ211" i="50"/>
  <c r="AJ26" i="50"/>
  <c r="AJ207" i="50"/>
  <c r="AJ130" i="50"/>
  <c r="AJ333" i="50"/>
  <c r="AJ128" i="50"/>
  <c r="AJ34" i="50"/>
  <c r="AJ299" i="50"/>
  <c r="AJ147" i="50"/>
  <c r="AJ276" i="50"/>
  <c r="AJ66" i="50"/>
  <c r="AJ248" i="50"/>
  <c r="AJ85" i="50"/>
  <c r="AJ82" i="50"/>
  <c r="AJ242" i="50"/>
  <c r="AJ16" i="50"/>
  <c r="AJ29" i="50"/>
  <c r="AJ94" i="50"/>
  <c r="AJ315" i="50"/>
  <c r="AJ111" i="50"/>
  <c r="AJ138" i="50"/>
  <c r="AJ116" i="50"/>
  <c r="AJ306" i="50"/>
  <c r="AJ230" i="50"/>
  <c r="AJ231" i="50"/>
  <c r="AJ30" i="50"/>
  <c r="AJ257" i="50"/>
  <c r="AJ59" i="50"/>
  <c r="AJ222" i="50"/>
  <c r="AJ219" i="50"/>
  <c r="AJ90" i="50"/>
  <c r="AJ319" i="50"/>
  <c r="AJ32" i="50"/>
  <c r="AJ33" i="50"/>
  <c r="AJ140" i="50"/>
  <c r="AJ79" i="50"/>
  <c r="AJ277" i="50"/>
  <c r="AJ156" i="50"/>
  <c r="AJ241" i="50"/>
  <c r="AJ225" i="50"/>
  <c r="AJ99" i="50"/>
  <c r="AJ134" i="50"/>
  <c r="AJ216" i="50"/>
  <c r="AJ131" i="50"/>
  <c r="AJ13" i="50"/>
  <c r="AJ45" i="50"/>
  <c r="AJ243" i="50"/>
  <c r="AJ146" i="50"/>
  <c r="AJ210" i="50"/>
  <c r="AJ19" i="50"/>
  <c r="AJ316" i="50"/>
  <c r="R5" i="53" l="1"/>
  <c r="BJ7" i="50"/>
  <c r="BF7" i="50"/>
  <c r="I328" i="26" l="1"/>
  <c r="I78" i="26"/>
  <c r="I166" i="26"/>
  <c r="I315" i="26"/>
  <c r="I307" i="26"/>
  <c r="I331" i="26"/>
  <c r="I101" i="26"/>
  <c r="I108" i="26"/>
  <c r="I291" i="26"/>
  <c r="I281" i="26"/>
  <c r="I100" i="26"/>
  <c r="I148" i="26"/>
  <c r="I249" i="26"/>
  <c r="I65" i="26"/>
  <c r="I329" i="26"/>
  <c r="I172" i="26"/>
  <c r="I297" i="26"/>
  <c r="I188" i="26"/>
  <c r="I267" i="26"/>
  <c r="I243" i="26"/>
  <c r="I72" i="26"/>
  <c r="I44" i="26"/>
  <c r="I273" i="26"/>
  <c r="I96" i="26"/>
  <c r="I206" i="26"/>
  <c r="I42" i="26"/>
  <c r="I220" i="26"/>
  <c r="I286" i="26"/>
  <c r="I138" i="26"/>
  <c r="I133" i="26"/>
  <c r="I145" i="26"/>
  <c r="I316" i="26"/>
  <c r="I167" i="26"/>
  <c r="I178" i="26"/>
  <c r="I158" i="26"/>
  <c r="I147" i="26"/>
  <c r="I16" i="26"/>
  <c r="I91" i="26"/>
  <c r="I12" i="26"/>
  <c r="I218" i="26"/>
  <c r="I305" i="26"/>
  <c r="I46" i="26"/>
  <c r="I292" i="26"/>
  <c r="I43" i="26"/>
  <c r="I306" i="26"/>
  <c r="I63" i="26"/>
  <c r="I303" i="26"/>
  <c r="I302" i="26"/>
  <c r="I80" i="26"/>
  <c r="I287" i="26"/>
  <c r="I240" i="26"/>
  <c r="I106" i="26"/>
  <c r="I228" i="26"/>
  <c r="I194" i="26"/>
  <c r="I296" i="26"/>
  <c r="I184" i="26"/>
  <c r="I330" i="26"/>
  <c r="I127" i="26"/>
  <c r="I185" i="26"/>
  <c r="I152" i="26"/>
  <c r="I45" i="26"/>
  <c r="I89" i="26"/>
  <c r="I279" i="26"/>
  <c r="I142" i="26"/>
  <c r="I47" i="26"/>
  <c r="I299" i="26"/>
  <c r="I312" i="26"/>
  <c r="I36" i="26"/>
  <c r="I197" i="26"/>
  <c r="I119" i="26"/>
  <c r="I144" i="26"/>
  <c r="I265" i="26"/>
  <c r="I77" i="26"/>
  <c r="I238" i="26"/>
  <c r="I61" i="26"/>
  <c r="I314" i="26"/>
  <c r="I139" i="26"/>
  <c r="I64" i="26"/>
  <c r="I35" i="26"/>
  <c r="I95" i="26"/>
  <c r="I32" i="26"/>
  <c r="I155" i="26"/>
  <c r="I156" i="26"/>
  <c r="I177" i="26"/>
  <c r="I104" i="26"/>
  <c r="I199" i="26"/>
  <c r="I264" i="26"/>
  <c r="I268" i="26"/>
  <c r="I102" i="26"/>
  <c r="I58" i="26"/>
  <c r="I275" i="26"/>
  <c r="I137" i="26"/>
  <c r="I257" i="26"/>
  <c r="I161" i="26"/>
  <c r="I118" i="26"/>
  <c r="I153" i="26"/>
  <c r="I6" i="26"/>
  <c r="I69" i="26"/>
  <c r="I171" i="26"/>
  <c r="I135" i="26"/>
  <c r="I87" i="26"/>
  <c r="I274" i="26"/>
  <c r="I160" i="26"/>
  <c r="I168" i="26"/>
  <c r="I255" i="26"/>
  <c r="I85" i="26"/>
  <c r="I169" i="26"/>
  <c r="I49" i="26"/>
  <c r="I131" i="26"/>
  <c r="I5" i="26"/>
  <c r="I248" i="26"/>
  <c r="I22" i="26"/>
  <c r="I48" i="26"/>
  <c r="I245" i="26"/>
  <c r="I143" i="26"/>
  <c r="I198" i="26"/>
  <c r="I252" i="26"/>
  <c r="I277" i="26"/>
  <c r="I114" i="26"/>
  <c r="I37" i="26"/>
  <c r="I92" i="26"/>
  <c r="I318" i="26"/>
  <c r="I68" i="26"/>
  <c r="I14" i="26"/>
  <c r="I94" i="26"/>
  <c r="I212" i="26"/>
  <c r="I41" i="26"/>
  <c r="I203" i="26"/>
  <c r="I62" i="26"/>
  <c r="I280" i="26"/>
  <c r="I298" i="26"/>
  <c r="I25" i="26"/>
  <c r="I283" i="26"/>
  <c r="I221" i="26"/>
  <c r="I272" i="26"/>
  <c r="I250" i="26"/>
  <c r="I56" i="26"/>
  <c r="I176" i="26"/>
  <c r="I183" i="26"/>
  <c r="I322" i="26"/>
  <c r="I174" i="26"/>
  <c r="I260" i="26"/>
  <c r="I231" i="26"/>
  <c r="I190" i="26"/>
  <c r="I207" i="26"/>
  <c r="I202" i="26"/>
  <c r="I290" i="26"/>
  <c r="I159" i="26"/>
  <c r="I209" i="26"/>
  <c r="I19" i="26"/>
  <c r="I193" i="26"/>
  <c r="I195" i="26"/>
  <c r="I175" i="26"/>
  <c r="I111" i="26"/>
  <c r="I182" i="26"/>
  <c r="I214" i="26"/>
  <c r="I151" i="26"/>
  <c r="I253" i="26"/>
  <c r="I103" i="26"/>
  <c r="I263" i="26"/>
  <c r="I59" i="26"/>
  <c r="I107" i="26"/>
  <c r="I321" i="26"/>
  <c r="I192" i="26"/>
  <c r="I54" i="26"/>
  <c r="I4" i="26"/>
  <c r="I232" i="26"/>
  <c r="I266" i="26"/>
  <c r="I33" i="26"/>
  <c r="I317" i="26"/>
  <c r="I34" i="26"/>
  <c r="I211" i="26"/>
  <c r="I196" i="26"/>
  <c r="I289" i="26"/>
  <c r="I17" i="26"/>
  <c r="I324" i="26"/>
  <c r="I3" i="26"/>
  <c r="I163" i="26"/>
  <c r="I165" i="26"/>
  <c r="I86" i="26"/>
  <c r="I173" i="26"/>
  <c r="I146" i="26"/>
  <c r="I319" i="26"/>
  <c r="I98" i="26"/>
  <c r="I241" i="26"/>
  <c r="I130" i="26"/>
  <c r="I97" i="26"/>
  <c r="I294" i="26"/>
  <c r="I30" i="26"/>
  <c r="I15" i="26"/>
  <c r="I326" i="26"/>
  <c r="I40" i="26"/>
  <c r="I129" i="26"/>
  <c r="I70" i="26"/>
  <c r="I288" i="26"/>
  <c r="I67" i="26"/>
  <c r="I57" i="26"/>
  <c r="I282" i="26"/>
  <c r="I29" i="26"/>
  <c r="I81" i="26"/>
  <c r="I261" i="26"/>
  <c r="I31" i="26"/>
  <c r="I181" i="26"/>
  <c r="I9" i="26"/>
  <c r="I18" i="26"/>
  <c r="I113" i="26"/>
  <c r="I320" i="26"/>
  <c r="I116" i="26"/>
  <c r="I115" i="26"/>
  <c r="I230" i="26"/>
  <c r="I229" i="26"/>
  <c r="I276" i="26"/>
  <c r="I170" i="26"/>
  <c r="I278" i="26"/>
  <c r="I82" i="26"/>
  <c r="I186" i="26"/>
  <c r="I126" i="26"/>
  <c r="I136" i="26"/>
  <c r="I254" i="26"/>
  <c r="I120" i="26"/>
  <c r="I258" i="26"/>
  <c r="I285" i="26"/>
  <c r="I8" i="26"/>
  <c r="I239" i="26"/>
  <c r="I295" i="26"/>
  <c r="I11" i="26"/>
  <c r="I256" i="26"/>
  <c r="I233" i="26"/>
  <c r="I301" i="26"/>
  <c r="I109" i="26"/>
  <c r="I157" i="26"/>
  <c r="I74" i="26"/>
  <c r="I90" i="26"/>
  <c r="I247" i="26"/>
  <c r="I217" i="26"/>
  <c r="I38" i="26"/>
  <c r="I223" i="26"/>
  <c r="I21" i="26"/>
  <c r="I222" i="26"/>
  <c r="I262" i="26"/>
  <c r="I52" i="26"/>
  <c r="I187" i="26"/>
  <c r="I189" i="26"/>
  <c r="I191" i="26"/>
  <c r="I325" i="26"/>
  <c r="I246" i="26"/>
  <c r="I50" i="26"/>
  <c r="I226" i="26"/>
  <c r="I284" i="26"/>
  <c r="I71" i="26"/>
  <c r="I162" i="26"/>
  <c r="I154" i="26"/>
  <c r="I179" i="26"/>
  <c r="I112" i="26"/>
  <c r="I2" i="26"/>
  <c r="I99" i="26"/>
  <c r="I323" i="26"/>
  <c r="I75" i="26"/>
  <c r="I164" i="26"/>
  <c r="I244" i="26"/>
  <c r="I259" i="26"/>
  <c r="I51" i="26"/>
  <c r="I308" i="26"/>
  <c r="I227" i="26"/>
  <c r="I304" i="26"/>
  <c r="I215" i="26"/>
  <c r="I83" i="26"/>
  <c r="I121" i="26"/>
  <c r="I269" i="26"/>
  <c r="I180" i="26"/>
  <c r="I208" i="26"/>
  <c r="I234" i="26"/>
  <c r="I117" i="26"/>
  <c r="I200" i="26"/>
  <c r="I55" i="26"/>
  <c r="I123" i="26"/>
  <c r="I311" i="26"/>
  <c r="I149" i="26"/>
  <c r="I66" i="26"/>
  <c r="I205" i="26"/>
  <c r="I20" i="26"/>
  <c r="I201" i="26"/>
  <c r="I124" i="26"/>
  <c r="I327" i="26"/>
  <c r="I122" i="26"/>
  <c r="I28" i="26"/>
  <c r="I293" i="26"/>
  <c r="I141" i="26"/>
  <c r="I270" i="26"/>
  <c r="I60" i="26"/>
  <c r="I242" i="26"/>
  <c r="I79" i="26"/>
  <c r="I76" i="26"/>
  <c r="I236" i="26"/>
  <c r="I10" i="26"/>
  <c r="I23" i="26"/>
  <c r="I88" i="26"/>
  <c r="I309" i="26"/>
  <c r="I105" i="26"/>
  <c r="I132" i="26"/>
  <c r="I110" i="26"/>
  <c r="I300" i="26"/>
  <c r="I224" i="26"/>
  <c r="I225" i="26"/>
  <c r="I24" i="26"/>
  <c r="I251" i="26"/>
  <c r="I53" i="26"/>
  <c r="I216" i="26"/>
  <c r="I213" i="26"/>
  <c r="I84" i="26"/>
  <c r="I313" i="26"/>
  <c r="I26" i="26"/>
  <c r="I27" i="26"/>
  <c r="I134" i="26"/>
  <c r="I73" i="26"/>
  <c r="I271" i="26"/>
  <c r="I150" i="26"/>
  <c r="I235" i="26"/>
  <c r="I219" i="26"/>
  <c r="I93" i="26"/>
  <c r="I128" i="26"/>
  <c r="I210" i="26"/>
  <c r="I125" i="26"/>
  <c r="I7" i="26"/>
  <c r="I39" i="26"/>
  <c r="I237" i="26"/>
  <c r="I140" i="26"/>
  <c r="I204" i="26"/>
  <c r="I13" i="26"/>
  <c r="I310" i="26"/>
  <c r="U72" i="26"/>
  <c r="T331" i="27" l="1"/>
  <c r="S331" i="27"/>
  <c r="T280" i="27"/>
  <c r="S280" i="27"/>
  <c r="T322" i="27"/>
  <c r="S322" i="27"/>
  <c r="T336" i="27"/>
  <c r="S336" i="27"/>
  <c r="T53" i="27"/>
  <c r="S53" i="27"/>
  <c r="T146" i="27"/>
  <c r="S146" i="27"/>
  <c r="T92" i="27"/>
  <c r="S92" i="27"/>
  <c r="T161" i="27"/>
  <c r="S161" i="27"/>
  <c r="T80" i="27"/>
  <c r="S80" i="27"/>
  <c r="T197" i="27"/>
  <c r="S197" i="27"/>
  <c r="T174" i="27"/>
  <c r="S174" i="27"/>
  <c r="T130" i="27"/>
  <c r="S130" i="27"/>
  <c r="T154" i="27"/>
  <c r="S154" i="27"/>
  <c r="T215" i="27"/>
  <c r="S215" i="27"/>
  <c r="T167" i="27"/>
  <c r="S167" i="27"/>
  <c r="T305" i="27"/>
  <c r="S305" i="27"/>
  <c r="T333" i="27"/>
  <c r="S333" i="27"/>
  <c r="T261" i="27"/>
  <c r="S261" i="27"/>
  <c r="T26" i="27"/>
  <c r="S26" i="27"/>
  <c r="T270" i="27"/>
  <c r="S270" i="27"/>
  <c r="T60" i="27"/>
  <c r="S60" i="27"/>
  <c r="T7" i="27"/>
  <c r="S7" i="27"/>
  <c r="T39" i="27"/>
  <c r="S39" i="27"/>
  <c r="T74" i="27"/>
  <c r="S74" i="27"/>
  <c r="T332" i="27"/>
  <c r="S332" i="27"/>
  <c r="T292" i="27"/>
  <c r="S292" i="27"/>
  <c r="T296" i="27"/>
  <c r="S296" i="27"/>
  <c r="T72" i="27"/>
  <c r="S72" i="27"/>
  <c r="T290" i="27"/>
  <c r="S290" i="27"/>
  <c r="T289" i="27"/>
  <c r="S289" i="27"/>
  <c r="T108" i="27"/>
  <c r="S108" i="27"/>
  <c r="T35" i="27"/>
  <c r="S35" i="27"/>
  <c r="T271" i="27"/>
  <c r="S271" i="27"/>
  <c r="T206" i="27"/>
  <c r="S206" i="27"/>
  <c r="T320" i="27"/>
  <c r="S320" i="27"/>
  <c r="T282" i="27"/>
  <c r="S282" i="27"/>
  <c r="T112" i="27"/>
  <c r="S112" i="27"/>
  <c r="T149" i="27"/>
  <c r="S149" i="27"/>
  <c r="T50" i="27"/>
  <c r="S50" i="27"/>
  <c r="T294" i="27"/>
  <c r="S294" i="27"/>
  <c r="T328" i="27"/>
  <c r="S328" i="27"/>
  <c r="T190" i="27"/>
  <c r="S190" i="27"/>
  <c r="T163" i="27"/>
  <c r="S163" i="27"/>
  <c r="T142" i="27"/>
  <c r="S142" i="27"/>
  <c r="T287" i="27"/>
  <c r="S287" i="27"/>
  <c r="T309" i="27"/>
  <c r="S309" i="27"/>
  <c r="T115" i="27"/>
  <c r="S115" i="27"/>
  <c r="T88" i="27"/>
  <c r="S88" i="27"/>
  <c r="T204" i="27"/>
  <c r="S204" i="27"/>
  <c r="T139" i="27"/>
  <c r="S139" i="27"/>
  <c r="T327" i="27"/>
  <c r="S327" i="27"/>
  <c r="T207" i="27"/>
  <c r="S207" i="27"/>
  <c r="T123" i="27"/>
  <c r="S123" i="27"/>
  <c r="T219" i="27"/>
  <c r="S219" i="27"/>
  <c r="T125" i="27"/>
  <c r="S125" i="27"/>
  <c r="T274" i="27"/>
  <c r="S274" i="27"/>
  <c r="T246" i="27"/>
  <c r="S246" i="27"/>
  <c r="T235" i="27"/>
  <c r="S235" i="27"/>
  <c r="T314" i="27"/>
  <c r="S314" i="27"/>
  <c r="T202" i="27"/>
  <c r="S202" i="27"/>
  <c r="T21" i="27"/>
  <c r="S21" i="27"/>
  <c r="T48" i="27"/>
  <c r="S48" i="27"/>
  <c r="T68" i="27"/>
  <c r="S68" i="27"/>
  <c r="T249" i="27"/>
  <c r="S249" i="27"/>
  <c r="T318" i="27"/>
  <c r="S318" i="27"/>
  <c r="T169" i="27"/>
  <c r="S169" i="27"/>
  <c r="T265" i="27"/>
  <c r="S265" i="27"/>
  <c r="T250" i="27"/>
  <c r="S250" i="27"/>
  <c r="T177" i="27"/>
  <c r="S177" i="27"/>
  <c r="T97" i="27"/>
  <c r="S97" i="27"/>
  <c r="T136" i="27"/>
  <c r="S136" i="27"/>
  <c r="T195" i="27"/>
  <c r="S195" i="27"/>
  <c r="T76" i="27"/>
  <c r="S76" i="27"/>
  <c r="T116" i="27"/>
  <c r="S116" i="27"/>
  <c r="T244" i="27"/>
  <c r="S244" i="27"/>
  <c r="T110" i="27"/>
  <c r="S110" i="27"/>
  <c r="T232" i="27"/>
  <c r="S232" i="27"/>
  <c r="T118" i="27"/>
  <c r="S118" i="27"/>
  <c r="T179" i="27"/>
  <c r="S179" i="27"/>
  <c r="T220" i="27"/>
  <c r="S220" i="27"/>
  <c r="T31" i="27"/>
  <c r="S31" i="27"/>
  <c r="T201" i="27"/>
  <c r="S201" i="27"/>
  <c r="T324" i="27"/>
  <c r="S324" i="27"/>
  <c r="T226" i="27"/>
  <c r="S226" i="27"/>
  <c r="T103" i="27"/>
  <c r="S103" i="27"/>
  <c r="T91" i="27"/>
  <c r="S91" i="27"/>
  <c r="T223" i="27"/>
  <c r="S223" i="27"/>
  <c r="T77" i="27"/>
  <c r="S77" i="27"/>
  <c r="T317" i="27"/>
  <c r="S317" i="27"/>
  <c r="T46" i="27"/>
  <c r="S46" i="27"/>
  <c r="T152" i="27"/>
  <c r="S152" i="27"/>
  <c r="T286" i="27"/>
  <c r="S286" i="27"/>
  <c r="T113" i="27"/>
  <c r="S113" i="27"/>
  <c r="T263" i="27"/>
  <c r="S263" i="27"/>
  <c r="T11" i="27"/>
  <c r="S11" i="27"/>
  <c r="T43" i="27"/>
  <c r="S43" i="27"/>
  <c r="T19" i="27"/>
  <c r="S19" i="27"/>
  <c r="T65" i="27"/>
  <c r="S65" i="27"/>
  <c r="T109" i="27"/>
  <c r="S109" i="27"/>
  <c r="T170" i="27"/>
  <c r="S170" i="27"/>
  <c r="T194" i="27"/>
  <c r="S194" i="27"/>
  <c r="T127" i="27"/>
  <c r="S127" i="27"/>
  <c r="T126" i="27"/>
  <c r="S126" i="27"/>
  <c r="T284" i="27"/>
  <c r="S284" i="27"/>
  <c r="T73" i="27"/>
  <c r="S73" i="27"/>
  <c r="T89" i="27"/>
  <c r="S89" i="27"/>
  <c r="T33" i="27"/>
  <c r="S33" i="27"/>
  <c r="T34" i="27"/>
  <c r="S34" i="27"/>
  <c r="T100" i="27"/>
  <c r="S100" i="27"/>
  <c r="T98" i="27"/>
  <c r="S98" i="27"/>
  <c r="T203" i="27"/>
  <c r="S203" i="27"/>
  <c r="T310" i="27"/>
  <c r="S310" i="27"/>
  <c r="T18" i="27"/>
  <c r="S18" i="27"/>
  <c r="T297" i="27"/>
  <c r="S297" i="27"/>
  <c r="T102" i="27"/>
  <c r="S102" i="27"/>
  <c r="T29" i="27"/>
  <c r="S29" i="27"/>
  <c r="T71" i="27"/>
  <c r="S71" i="27"/>
  <c r="T181" i="27"/>
  <c r="S181" i="27"/>
  <c r="T28" i="27"/>
  <c r="S28" i="27"/>
  <c r="T211" i="27"/>
  <c r="S211" i="27"/>
  <c r="T165" i="27"/>
  <c r="S165" i="27"/>
  <c r="T15" i="27"/>
  <c r="S15" i="27"/>
  <c r="T188" i="27"/>
  <c r="S188" i="27"/>
  <c r="T66" i="27"/>
  <c r="S66" i="27"/>
  <c r="T192" i="27"/>
  <c r="S192" i="27"/>
  <c r="T312" i="27"/>
  <c r="S312" i="27"/>
  <c r="T57" i="27"/>
  <c r="S57" i="27"/>
  <c r="T9" i="27"/>
  <c r="S9" i="27"/>
  <c r="T209" i="27"/>
  <c r="S209" i="27"/>
  <c r="T191" i="27"/>
  <c r="S191" i="27"/>
  <c r="T55" i="27"/>
  <c r="S55" i="27"/>
  <c r="T63" i="27"/>
  <c r="S63" i="27"/>
  <c r="T251" i="27"/>
  <c r="S251" i="27"/>
  <c r="T221" i="27"/>
  <c r="S221" i="27"/>
  <c r="T268" i="27"/>
  <c r="S268" i="27"/>
  <c r="T164" i="27"/>
  <c r="S164" i="27"/>
  <c r="T185" i="27"/>
  <c r="S185" i="27"/>
  <c r="T283" i="27"/>
  <c r="S283" i="27"/>
  <c r="T186" i="27"/>
  <c r="S186" i="27"/>
  <c r="T173" i="27"/>
  <c r="S173" i="27"/>
  <c r="T93" i="27"/>
  <c r="S93" i="27"/>
  <c r="T193" i="27"/>
  <c r="S193" i="27"/>
  <c r="T94" i="27"/>
  <c r="S94" i="27"/>
  <c r="T319" i="27"/>
  <c r="S319" i="27"/>
  <c r="T95" i="27"/>
  <c r="S95" i="27"/>
  <c r="T121" i="27"/>
  <c r="S121" i="27"/>
  <c r="T278" i="27"/>
  <c r="S278" i="27"/>
  <c r="T281" i="27"/>
  <c r="S281" i="27"/>
  <c r="T198" i="27"/>
  <c r="S198" i="27"/>
  <c r="T182" i="27"/>
  <c r="S182" i="27"/>
  <c r="T134" i="27"/>
  <c r="S134" i="27"/>
  <c r="T67" i="27"/>
  <c r="S67" i="27"/>
  <c r="T84" i="27"/>
  <c r="S84" i="27"/>
  <c r="T303" i="27"/>
  <c r="S303" i="27"/>
  <c r="T253" i="27"/>
  <c r="S253" i="27"/>
  <c r="T199" i="27"/>
  <c r="S199" i="27"/>
  <c r="T184" i="27"/>
  <c r="S184" i="27"/>
  <c r="T196" i="27"/>
  <c r="S196" i="27"/>
  <c r="T156" i="27"/>
  <c r="S156" i="27"/>
  <c r="T321" i="27"/>
  <c r="S321" i="27"/>
  <c r="T238" i="27"/>
  <c r="S238" i="27"/>
  <c r="T124" i="27"/>
  <c r="S124" i="27"/>
  <c r="T230" i="27"/>
  <c r="S230" i="27"/>
  <c r="T233" i="27"/>
  <c r="S233" i="27"/>
  <c r="T304" i="27"/>
  <c r="S304" i="27"/>
  <c r="T334" i="27"/>
  <c r="S334" i="27"/>
  <c r="T158" i="27"/>
  <c r="S158" i="27"/>
  <c r="T78" i="27"/>
  <c r="S78" i="27"/>
  <c r="T159" i="27"/>
  <c r="S159" i="27"/>
  <c r="T86" i="27"/>
  <c r="S86" i="27"/>
  <c r="T243" i="27"/>
  <c r="S243" i="27"/>
  <c r="T234" i="27"/>
  <c r="S234" i="27"/>
  <c r="T189" i="27"/>
  <c r="S189" i="27"/>
  <c r="T302" i="27"/>
  <c r="S302" i="27"/>
  <c r="T106" i="27"/>
  <c r="S106" i="27"/>
  <c r="T254" i="27"/>
  <c r="S254" i="27"/>
  <c r="T255" i="27"/>
  <c r="S255" i="27"/>
  <c r="T85" i="27"/>
  <c r="S85" i="27"/>
  <c r="T241" i="27"/>
  <c r="S241" i="27"/>
  <c r="T277" i="27"/>
  <c r="S277" i="27"/>
  <c r="T180" i="27"/>
  <c r="S180" i="27"/>
  <c r="T20" i="27"/>
  <c r="S20" i="27"/>
  <c r="T59" i="27"/>
  <c r="S59" i="27"/>
  <c r="T325" i="27"/>
  <c r="S325" i="27"/>
  <c r="T301" i="27"/>
  <c r="S301" i="27"/>
  <c r="T155" i="27"/>
  <c r="S155" i="27"/>
  <c r="T306" i="27"/>
  <c r="S306" i="27"/>
  <c r="T266" i="27"/>
  <c r="S266" i="27"/>
  <c r="T222" i="27"/>
  <c r="S222" i="27"/>
  <c r="T273" i="27"/>
  <c r="S273" i="27"/>
  <c r="T49" i="27"/>
  <c r="S49" i="27"/>
  <c r="T10" i="27"/>
  <c r="S10" i="27"/>
  <c r="T260" i="27"/>
  <c r="S260" i="27"/>
  <c r="T308" i="27"/>
  <c r="S308" i="27"/>
  <c r="T245" i="27"/>
  <c r="S245" i="27"/>
  <c r="T119" i="27"/>
  <c r="S119" i="27"/>
  <c r="T237" i="27"/>
  <c r="S237" i="27"/>
  <c r="T23" i="27"/>
  <c r="S23" i="27"/>
  <c r="T307" i="27"/>
  <c r="S307" i="27"/>
  <c r="T37" i="27"/>
  <c r="S37" i="27"/>
  <c r="T228" i="27"/>
  <c r="S228" i="27"/>
  <c r="T151" i="27"/>
  <c r="S151" i="27"/>
  <c r="T144" i="27"/>
  <c r="S144" i="27"/>
  <c r="T16" i="27"/>
  <c r="S16" i="27"/>
  <c r="T279" i="27"/>
  <c r="S279" i="27"/>
  <c r="T120" i="27"/>
  <c r="S120" i="27"/>
  <c r="T14" i="27"/>
  <c r="S14" i="27"/>
  <c r="T54" i="27"/>
  <c r="S54" i="27"/>
  <c r="T61" i="27"/>
  <c r="S61" i="27"/>
  <c r="T52" i="27"/>
  <c r="S52" i="27"/>
  <c r="T69" i="27"/>
  <c r="S69" i="27"/>
  <c r="T117" i="27"/>
  <c r="S117" i="27"/>
  <c r="T267" i="27"/>
  <c r="S267" i="27"/>
  <c r="T242" i="27"/>
  <c r="S242" i="27"/>
  <c r="T64" i="27"/>
  <c r="S64" i="27"/>
  <c r="T218" i="27"/>
  <c r="S218" i="27"/>
  <c r="T129" i="27"/>
  <c r="S129" i="27"/>
  <c r="T128" i="27"/>
  <c r="S128" i="27"/>
  <c r="T131" i="27"/>
  <c r="S131" i="27"/>
  <c r="T83" i="27"/>
  <c r="S83" i="27"/>
  <c r="T183" i="27"/>
  <c r="S183" i="27"/>
  <c r="T36" i="27"/>
  <c r="S36" i="27"/>
  <c r="T107" i="27"/>
  <c r="S107" i="27"/>
  <c r="T329" i="27"/>
  <c r="S329" i="27"/>
  <c r="T175" i="27"/>
  <c r="S175" i="27"/>
  <c r="T285" i="27"/>
  <c r="S285" i="27"/>
  <c r="T38" i="27"/>
  <c r="S38" i="27"/>
  <c r="T252" i="27"/>
  <c r="S252" i="27"/>
  <c r="T178" i="27"/>
  <c r="S178" i="27"/>
  <c r="T248" i="27"/>
  <c r="S248" i="27"/>
  <c r="T330" i="27"/>
  <c r="S330" i="27"/>
  <c r="T326" i="27"/>
  <c r="S326" i="27"/>
  <c r="T81" i="27"/>
  <c r="S81" i="27"/>
  <c r="T153" i="27"/>
  <c r="S153" i="27"/>
  <c r="T150" i="27"/>
  <c r="S150" i="27"/>
  <c r="T313" i="27"/>
  <c r="S313" i="27"/>
  <c r="T257" i="27"/>
  <c r="S257" i="27"/>
  <c r="T212" i="27"/>
  <c r="S212" i="27"/>
  <c r="T17" i="27"/>
  <c r="S17" i="27"/>
  <c r="T216" i="27"/>
  <c r="S216" i="27"/>
  <c r="T299" i="27"/>
  <c r="S299" i="27"/>
  <c r="T104" i="27"/>
  <c r="S104" i="27"/>
  <c r="T275" i="27"/>
  <c r="S275" i="27"/>
  <c r="T40" i="27"/>
  <c r="S40" i="27"/>
  <c r="T236" i="27"/>
  <c r="S236" i="27"/>
  <c r="T157" i="27"/>
  <c r="S157" i="27"/>
  <c r="T231" i="27"/>
  <c r="S231" i="27"/>
  <c r="T27" i="27"/>
  <c r="S27" i="27"/>
  <c r="T70" i="27"/>
  <c r="S70" i="27"/>
  <c r="T122" i="27"/>
  <c r="S122" i="27"/>
  <c r="T137" i="27"/>
  <c r="S137" i="27"/>
  <c r="T288" i="27"/>
  <c r="S288" i="27"/>
  <c r="T45" i="27"/>
  <c r="S45" i="27"/>
  <c r="T335" i="27"/>
  <c r="S335" i="27"/>
  <c r="T264" i="27"/>
  <c r="S264" i="27"/>
  <c r="T44" i="27"/>
  <c r="S44" i="27"/>
  <c r="T79" i="27"/>
  <c r="S79" i="27"/>
  <c r="T105" i="27"/>
  <c r="S105" i="27"/>
  <c r="T22" i="27"/>
  <c r="S22" i="27"/>
  <c r="T316" i="27"/>
  <c r="S316" i="27"/>
  <c r="T87" i="27"/>
  <c r="S87" i="27"/>
  <c r="T143" i="27"/>
  <c r="S143" i="27"/>
  <c r="T239" i="27"/>
  <c r="S239" i="27"/>
  <c r="T214" i="27"/>
  <c r="S214" i="27"/>
  <c r="T141" i="27"/>
  <c r="S141" i="27"/>
  <c r="T58" i="27"/>
  <c r="S58" i="27"/>
  <c r="T323" i="27"/>
  <c r="S323" i="27"/>
  <c r="T259" i="27"/>
  <c r="S259" i="27"/>
  <c r="T291" i="27"/>
  <c r="S291" i="27"/>
  <c r="T208" i="27"/>
  <c r="S208" i="27"/>
  <c r="T262" i="27"/>
  <c r="S262" i="27"/>
  <c r="T47" i="27"/>
  <c r="S47" i="27"/>
  <c r="T176" i="27"/>
  <c r="S176" i="27"/>
  <c r="T247" i="27"/>
  <c r="S247" i="27"/>
  <c r="T140" i="27"/>
  <c r="S140" i="27"/>
  <c r="T200" i="27"/>
  <c r="S200" i="27"/>
  <c r="T62" i="27"/>
  <c r="S62" i="27"/>
  <c r="T172" i="27"/>
  <c r="S172" i="27"/>
  <c r="T30" i="27"/>
  <c r="S30" i="27"/>
  <c r="T96" i="27"/>
  <c r="S96" i="27"/>
  <c r="T75" i="27"/>
  <c r="S75" i="27"/>
  <c r="T90" i="27"/>
  <c r="S90" i="27"/>
  <c r="T229" i="27"/>
  <c r="S229" i="27"/>
  <c r="T224" i="27"/>
  <c r="S224" i="27"/>
  <c r="T272" i="27"/>
  <c r="S272" i="27"/>
  <c r="T295" i="27"/>
  <c r="S295" i="27"/>
  <c r="T276" i="27"/>
  <c r="S276" i="27"/>
  <c r="T315" i="27"/>
  <c r="S315" i="27"/>
  <c r="T293" i="27"/>
  <c r="S293" i="27"/>
  <c r="T311" i="27"/>
  <c r="S311" i="27"/>
  <c r="T210" i="27"/>
  <c r="S210" i="27"/>
  <c r="T145" i="27"/>
  <c r="S145" i="27"/>
  <c r="T12" i="27"/>
  <c r="S12" i="27"/>
  <c r="T101" i="27"/>
  <c r="S101" i="27"/>
  <c r="T217" i="27"/>
  <c r="S217" i="27"/>
  <c r="T269" i="27"/>
  <c r="S269" i="27"/>
  <c r="T258" i="27"/>
  <c r="S258" i="27"/>
  <c r="T166" i="27"/>
  <c r="S166" i="27"/>
  <c r="T168" i="27"/>
  <c r="S168" i="27"/>
  <c r="T256" i="27"/>
  <c r="S256" i="27"/>
  <c r="T135" i="27"/>
  <c r="S135" i="27"/>
  <c r="T148" i="27"/>
  <c r="S148" i="27"/>
  <c r="T138" i="27"/>
  <c r="S138" i="27"/>
  <c r="T51" i="27"/>
  <c r="S51" i="27"/>
  <c r="T24" i="27"/>
  <c r="S24" i="27"/>
  <c r="T25" i="27"/>
  <c r="S25" i="27"/>
  <c r="T205" i="27"/>
  <c r="S205" i="27"/>
  <c r="T32" i="27"/>
  <c r="S32" i="27"/>
  <c r="T41" i="27"/>
  <c r="S41" i="27"/>
  <c r="T225" i="27"/>
  <c r="S225" i="27"/>
  <c r="T99" i="27"/>
  <c r="S99" i="27"/>
  <c r="T56" i="27"/>
  <c r="S56" i="27"/>
  <c r="T187" i="27"/>
  <c r="S187" i="27"/>
  <c r="T132" i="27"/>
  <c r="S132" i="27"/>
  <c r="T162" i="27"/>
  <c r="S162" i="27"/>
  <c r="T300" i="27"/>
  <c r="S300" i="27"/>
  <c r="T147" i="27"/>
  <c r="S147" i="27"/>
  <c r="T213" i="27"/>
  <c r="S213" i="27"/>
  <c r="T8" i="27"/>
  <c r="S8" i="27"/>
  <c r="T298" i="27"/>
  <c r="S298" i="27"/>
  <c r="T111" i="27"/>
  <c r="S111" i="27"/>
  <c r="T42" i="27"/>
  <c r="S42" i="27"/>
  <c r="T133" i="27"/>
  <c r="S133" i="27"/>
  <c r="T114" i="27"/>
  <c r="S114" i="27"/>
  <c r="T13" i="27"/>
  <c r="S13" i="27"/>
  <c r="T240" i="27"/>
  <c r="S240" i="27"/>
  <c r="T227" i="27"/>
  <c r="S227" i="27"/>
  <c r="T171" i="27"/>
  <c r="S171" i="27"/>
  <c r="T160" i="27"/>
  <c r="S160" i="27"/>
  <c r="T82" i="27"/>
  <c r="AA336" i="60"/>
  <c r="AA335" i="60"/>
  <c r="AA334" i="60"/>
  <c r="AA333" i="60"/>
  <c r="AA332" i="60"/>
  <c r="AA331" i="60"/>
  <c r="AA330" i="60"/>
  <c r="AA329" i="60"/>
  <c r="AA328" i="60"/>
  <c r="AA327" i="60"/>
  <c r="AA326" i="60"/>
  <c r="AA325" i="60"/>
  <c r="AA324" i="60"/>
  <c r="AA323" i="60"/>
  <c r="AA322" i="60"/>
  <c r="AA321" i="60"/>
  <c r="AA320" i="60"/>
  <c r="AA319" i="60"/>
  <c r="AA318" i="60"/>
  <c r="AA317" i="60"/>
  <c r="AA316" i="60"/>
  <c r="AA315" i="60"/>
  <c r="AA314" i="60"/>
  <c r="AA313" i="60"/>
  <c r="AA312" i="60"/>
  <c r="AA311" i="60"/>
  <c r="AA310" i="60"/>
  <c r="AA309" i="60"/>
  <c r="AA308" i="60"/>
  <c r="AA307" i="60"/>
  <c r="AA306" i="60"/>
  <c r="AA305" i="60"/>
  <c r="AA304" i="60"/>
  <c r="AA303" i="60"/>
  <c r="AA302" i="60"/>
  <c r="AA301" i="60"/>
  <c r="AA300" i="60"/>
  <c r="AA299" i="60"/>
  <c r="AA298" i="60"/>
  <c r="AA297" i="60"/>
  <c r="AA296" i="60"/>
  <c r="AA295" i="60"/>
  <c r="AA294" i="60"/>
  <c r="AA293" i="60"/>
  <c r="AA292" i="60"/>
  <c r="AA291" i="60"/>
  <c r="AA290" i="60"/>
  <c r="AA289" i="60"/>
  <c r="AA288" i="60"/>
  <c r="AA287" i="60"/>
  <c r="AA286" i="60"/>
  <c r="AA285" i="60"/>
  <c r="AA284" i="60"/>
  <c r="AA283" i="60"/>
  <c r="AA282" i="60"/>
  <c r="AA281" i="60"/>
  <c r="AA280" i="60"/>
  <c r="AA279" i="60"/>
  <c r="AA278" i="60"/>
  <c r="AA277" i="60"/>
  <c r="AA276" i="60"/>
  <c r="AA275" i="60"/>
  <c r="AA274" i="60"/>
  <c r="AA273" i="60"/>
  <c r="AA272" i="60"/>
  <c r="AA271" i="60"/>
  <c r="AA270" i="60"/>
  <c r="AA269" i="60"/>
  <c r="AA268" i="60"/>
  <c r="AA267" i="60"/>
  <c r="AA266" i="60"/>
  <c r="AA265" i="60"/>
  <c r="AA264" i="60"/>
  <c r="AA263" i="60"/>
  <c r="AA262" i="60"/>
  <c r="AA261" i="60"/>
  <c r="AA260" i="60"/>
  <c r="AA259" i="60"/>
  <c r="AA258" i="60"/>
  <c r="AA257" i="60"/>
  <c r="AA256" i="60"/>
  <c r="AA255" i="60"/>
  <c r="AA254" i="60"/>
  <c r="AA253" i="60"/>
  <c r="AA252" i="60"/>
  <c r="AA251" i="60"/>
  <c r="AA250" i="60"/>
  <c r="AA249" i="60"/>
  <c r="AA248" i="60"/>
  <c r="AA247" i="60"/>
  <c r="AA246" i="60"/>
  <c r="AA245" i="60"/>
  <c r="AA244" i="60"/>
  <c r="AA243" i="60"/>
  <c r="AA242" i="60"/>
  <c r="AA241" i="60"/>
  <c r="AA240" i="60"/>
  <c r="AA239" i="60"/>
  <c r="AA238" i="60"/>
  <c r="AA237" i="60"/>
  <c r="AA236" i="60"/>
  <c r="AA235" i="60"/>
  <c r="AA234" i="60"/>
  <c r="AA233" i="60"/>
  <c r="AA232" i="60"/>
  <c r="AA231" i="60"/>
  <c r="AA230" i="60"/>
  <c r="AA229" i="60"/>
  <c r="AA228" i="60"/>
  <c r="AA227" i="60"/>
  <c r="AA226" i="60"/>
  <c r="AA225" i="60"/>
  <c r="AA224" i="60"/>
  <c r="AA223" i="60"/>
  <c r="AA222" i="60"/>
  <c r="AA221" i="60"/>
  <c r="AA220" i="60"/>
  <c r="AA219" i="60"/>
  <c r="AA218" i="60"/>
  <c r="AA217" i="60"/>
  <c r="AA216" i="60"/>
  <c r="AA215" i="60"/>
  <c r="AA214" i="60"/>
  <c r="AA213" i="60"/>
  <c r="AA212" i="60"/>
  <c r="AA211" i="60"/>
  <c r="AA210" i="60"/>
  <c r="AA209" i="60"/>
  <c r="AA208" i="60"/>
  <c r="AA207" i="60"/>
  <c r="AA206" i="60"/>
  <c r="AA205" i="60"/>
  <c r="AA204" i="60"/>
  <c r="AA203" i="60"/>
  <c r="AA202" i="60"/>
  <c r="AA201" i="60"/>
  <c r="AA200" i="60"/>
  <c r="AA199" i="60"/>
  <c r="AA198" i="60"/>
  <c r="AA197" i="60"/>
  <c r="AA196" i="60"/>
  <c r="AA195" i="60"/>
  <c r="AA194" i="60"/>
  <c r="AA193" i="60"/>
  <c r="AA192" i="60"/>
  <c r="AA191" i="60"/>
  <c r="AA190" i="60"/>
  <c r="AA189" i="60"/>
  <c r="AA188" i="60"/>
  <c r="AA187" i="60"/>
  <c r="AA186" i="60"/>
  <c r="AA185" i="60"/>
  <c r="AA184" i="60"/>
  <c r="AA183" i="60"/>
  <c r="AA182" i="60"/>
  <c r="AA181" i="60"/>
  <c r="AA180" i="60"/>
  <c r="AA179" i="60"/>
  <c r="AA178" i="60"/>
  <c r="AA177" i="60"/>
  <c r="AA176" i="60"/>
  <c r="AA175" i="60"/>
  <c r="AA174" i="60"/>
  <c r="AA173" i="60"/>
  <c r="AA172" i="60"/>
  <c r="AA171" i="60"/>
  <c r="AA170" i="60"/>
  <c r="AA169" i="60"/>
  <c r="AA168" i="60"/>
  <c r="AA167" i="60"/>
  <c r="AA166" i="60"/>
  <c r="AA165" i="60"/>
  <c r="AA164" i="60"/>
  <c r="AA163" i="60"/>
  <c r="AA162" i="60"/>
  <c r="AA161" i="60"/>
  <c r="AA160" i="60"/>
  <c r="AA159" i="60"/>
  <c r="AA158" i="60"/>
  <c r="AA157" i="60"/>
  <c r="AA156" i="60"/>
  <c r="AA155" i="60"/>
  <c r="AA154" i="60"/>
  <c r="AA153" i="60"/>
  <c r="AA152" i="60"/>
  <c r="AA151" i="60"/>
  <c r="AA150" i="60"/>
  <c r="AA149" i="60"/>
  <c r="AA148" i="60"/>
  <c r="AA147" i="60"/>
  <c r="AA146" i="60"/>
  <c r="AA145" i="60"/>
  <c r="AA144" i="60"/>
  <c r="AA143" i="60"/>
  <c r="AA142" i="60"/>
  <c r="AA141" i="60"/>
  <c r="AA140" i="60"/>
  <c r="AA139" i="60"/>
  <c r="AA138" i="60"/>
  <c r="AA137" i="60"/>
  <c r="AA136" i="60"/>
  <c r="AA135" i="60"/>
  <c r="AA134" i="60"/>
  <c r="AA133" i="60"/>
  <c r="AA132" i="60"/>
  <c r="AA131" i="60"/>
  <c r="AA130" i="60"/>
  <c r="AA129" i="60"/>
  <c r="AA128" i="60"/>
  <c r="AA127" i="60"/>
  <c r="AA126" i="60"/>
  <c r="AA125" i="60"/>
  <c r="AA124" i="60"/>
  <c r="AA123" i="60"/>
  <c r="AA122" i="60"/>
  <c r="AA121" i="60"/>
  <c r="AA120" i="60"/>
  <c r="AA119" i="60"/>
  <c r="AA118" i="60"/>
  <c r="AA117" i="60"/>
  <c r="AA116" i="60"/>
  <c r="AA115" i="60"/>
  <c r="AA114" i="60"/>
  <c r="AA113" i="60"/>
  <c r="AA112" i="60"/>
  <c r="AA111" i="60"/>
  <c r="AA110" i="60"/>
  <c r="AA109" i="60"/>
  <c r="AA108" i="60"/>
  <c r="AA107" i="60"/>
  <c r="AA106" i="60"/>
  <c r="AA105" i="60"/>
  <c r="AA104" i="60"/>
  <c r="AA103" i="60"/>
  <c r="AA102" i="60"/>
  <c r="AA101" i="60"/>
  <c r="AA100" i="60"/>
  <c r="AA99" i="60"/>
  <c r="AA98" i="60"/>
  <c r="AA97" i="60"/>
  <c r="AA96" i="60"/>
  <c r="AA95" i="60"/>
  <c r="AA94" i="60"/>
  <c r="AA93" i="60"/>
  <c r="AA92" i="60"/>
  <c r="AA91" i="60"/>
  <c r="AA90" i="60"/>
  <c r="AA89" i="60"/>
  <c r="AA88" i="60"/>
  <c r="AA87" i="60"/>
  <c r="AA86" i="60"/>
  <c r="AA85" i="60"/>
  <c r="AA84" i="60"/>
  <c r="AA83" i="60"/>
  <c r="AA82" i="60"/>
  <c r="AA81" i="60"/>
  <c r="AA80" i="60"/>
  <c r="AA79" i="60"/>
  <c r="AA78" i="60"/>
  <c r="AA77" i="60"/>
  <c r="AA76" i="60"/>
  <c r="AA75" i="60"/>
  <c r="AA74" i="60"/>
  <c r="AA73" i="60"/>
  <c r="AA72" i="60"/>
  <c r="AA71" i="60"/>
  <c r="AA70" i="60"/>
  <c r="AA69" i="60"/>
  <c r="AA68" i="60"/>
  <c r="AA67" i="60"/>
  <c r="AA66" i="60"/>
  <c r="AA65" i="60"/>
  <c r="AA64" i="60"/>
  <c r="AA63" i="60"/>
  <c r="AA62" i="60"/>
  <c r="AA61" i="60"/>
  <c r="AA60" i="60"/>
  <c r="AA59" i="60"/>
  <c r="AA58" i="60"/>
  <c r="AA57" i="60"/>
  <c r="AA56" i="60"/>
  <c r="AA55" i="60"/>
  <c r="AA54" i="60"/>
  <c r="AA53" i="60"/>
  <c r="AA52" i="60"/>
  <c r="AA51" i="60"/>
  <c r="AA50" i="60"/>
  <c r="AA49" i="60"/>
  <c r="AA48" i="60"/>
  <c r="AA47" i="60"/>
  <c r="AA46" i="60"/>
  <c r="AA45" i="60"/>
  <c r="AA44" i="60"/>
  <c r="AA43" i="60"/>
  <c r="AA42" i="60"/>
  <c r="AA41" i="60"/>
  <c r="AA40" i="60"/>
  <c r="AA39" i="60"/>
  <c r="AA38" i="60"/>
  <c r="AA37" i="60"/>
  <c r="AA36" i="60"/>
  <c r="AA35" i="60"/>
  <c r="AA34" i="60"/>
  <c r="AA33" i="60"/>
  <c r="AA32" i="60"/>
  <c r="AA31" i="60"/>
  <c r="AA30" i="60"/>
  <c r="AA29" i="60"/>
  <c r="AA28" i="60"/>
  <c r="AA27" i="60"/>
  <c r="AA26" i="60"/>
  <c r="AA25" i="60"/>
  <c r="AA24" i="60"/>
  <c r="AA23" i="60"/>
  <c r="AA22" i="60"/>
  <c r="AA21" i="60"/>
  <c r="AA20" i="60"/>
  <c r="AA19" i="60"/>
  <c r="AA18" i="60"/>
  <c r="AA17" i="60"/>
  <c r="AA16" i="60"/>
  <c r="AA15" i="60"/>
  <c r="AA14" i="60"/>
  <c r="AA13" i="60"/>
  <c r="AA12" i="60"/>
  <c r="G4" i="60"/>
  <c r="BE131" i="32"/>
  <c r="BE130" i="32"/>
  <c r="BE129" i="32"/>
  <c r="BE128" i="32"/>
  <c r="BE127" i="32"/>
  <c r="BE126" i="32"/>
  <c r="BE125" i="32"/>
  <c r="BE124" i="32"/>
  <c r="BE123" i="32"/>
  <c r="BE122" i="32"/>
  <c r="BE121" i="32"/>
  <c r="BE120" i="32"/>
  <c r="BE119" i="32"/>
  <c r="BE118" i="32"/>
  <c r="BE117" i="32"/>
  <c r="BE116" i="32"/>
  <c r="BE115" i="32"/>
  <c r="BE114" i="32"/>
  <c r="BB118" i="32"/>
  <c r="BC118" i="32" s="1"/>
  <c r="BB212" i="32"/>
  <c r="BB247" i="32"/>
  <c r="BC247" i="32" s="1"/>
  <c r="BC336" i="32"/>
  <c r="BC335" i="32"/>
  <c r="BC334" i="32"/>
  <c r="BC333" i="32"/>
  <c r="BC332" i="32"/>
  <c r="BC331" i="32"/>
  <c r="BC330" i="32"/>
  <c r="BC329" i="32"/>
  <c r="BC328" i="32"/>
  <c r="BC327" i="32"/>
  <c r="BC326" i="32"/>
  <c r="BC325" i="32"/>
  <c r="BC324" i="32"/>
  <c r="BC323" i="32"/>
  <c r="BC322" i="32"/>
  <c r="BC321" i="32"/>
  <c r="BC320" i="32"/>
  <c r="BC319" i="32"/>
  <c r="BC318" i="32"/>
  <c r="BC317" i="32"/>
  <c r="BC316" i="32"/>
  <c r="BC315" i="32"/>
  <c r="BC314" i="32"/>
  <c r="BC313" i="32"/>
  <c r="BC312" i="32"/>
  <c r="BC311" i="32"/>
  <c r="BC310" i="32"/>
  <c r="BC309" i="32"/>
  <c r="BC308" i="32"/>
  <c r="BC307" i="32"/>
  <c r="BC306" i="32"/>
  <c r="BC305" i="32"/>
  <c r="BC304" i="32"/>
  <c r="BC303" i="32"/>
  <c r="BC302" i="32"/>
  <c r="BC301" i="32"/>
  <c r="BC300" i="32"/>
  <c r="BC299" i="32"/>
  <c r="BC298" i="32"/>
  <c r="BC297" i="32"/>
  <c r="BC296" i="32"/>
  <c r="BC295" i="32"/>
  <c r="BC294" i="32"/>
  <c r="BC293" i="32"/>
  <c r="BC292" i="32"/>
  <c r="BC291" i="32"/>
  <c r="BC290" i="32"/>
  <c r="BC289" i="32"/>
  <c r="BC288" i="32"/>
  <c r="BC287" i="32"/>
  <c r="BC286" i="32"/>
  <c r="BC285" i="32"/>
  <c r="BC284" i="32"/>
  <c r="BC283" i="32"/>
  <c r="BC282" i="32"/>
  <c r="BC281" i="32"/>
  <c r="BC280" i="32"/>
  <c r="BC279" i="32"/>
  <c r="BC278" i="32"/>
  <c r="BC277" i="32"/>
  <c r="BC276" i="32"/>
  <c r="BC275" i="32"/>
  <c r="BC274" i="32"/>
  <c r="BC273" i="32"/>
  <c r="BC272" i="32"/>
  <c r="BC271" i="32"/>
  <c r="BC270" i="32"/>
  <c r="BC269" i="32"/>
  <c r="BC268" i="32"/>
  <c r="BC267" i="32"/>
  <c r="BC266" i="32"/>
  <c r="BC265" i="32"/>
  <c r="BC264" i="32"/>
  <c r="BC263" i="32"/>
  <c r="BC262" i="32"/>
  <c r="BC261" i="32"/>
  <c r="BC260" i="32"/>
  <c r="BC259" i="32"/>
  <c r="BC258" i="32"/>
  <c r="BC257" i="32"/>
  <c r="BC256" i="32"/>
  <c r="BC255" i="32"/>
  <c r="BC254" i="32"/>
  <c r="BC253" i="32"/>
  <c r="BC252" i="32"/>
  <c r="BC251" i="32"/>
  <c r="BC250" i="32"/>
  <c r="BC249" i="32"/>
  <c r="BC248" i="32"/>
  <c r="BC246" i="32"/>
  <c r="BC245" i="32"/>
  <c r="BC244" i="32"/>
  <c r="BC243" i="32"/>
  <c r="BC242" i="32"/>
  <c r="BC241" i="32"/>
  <c r="BC240" i="32"/>
  <c r="BC239" i="32"/>
  <c r="BC238" i="32"/>
  <c r="BC237" i="32"/>
  <c r="BC236" i="32"/>
  <c r="BC235" i="32"/>
  <c r="BC234" i="32"/>
  <c r="BC233" i="32"/>
  <c r="BC232" i="32"/>
  <c r="BC231" i="32"/>
  <c r="BC230" i="32"/>
  <c r="BC229" i="32"/>
  <c r="BC228" i="32"/>
  <c r="BC227" i="32"/>
  <c r="BC226" i="32"/>
  <c r="BC225" i="32"/>
  <c r="BC224" i="32"/>
  <c r="BC223" i="32"/>
  <c r="BC222" i="32"/>
  <c r="BC221" i="32"/>
  <c r="BC220" i="32"/>
  <c r="BC219" i="32"/>
  <c r="BC218" i="32"/>
  <c r="BC217" i="32"/>
  <c r="BC216" i="32"/>
  <c r="BC215" i="32"/>
  <c r="BC214" i="32"/>
  <c r="BC213" i="32"/>
  <c r="BC212" i="32"/>
  <c r="BC211" i="32"/>
  <c r="BC210" i="32"/>
  <c r="BC209" i="32"/>
  <c r="BC208" i="32"/>
  <c r="BC207" i="32"/>
  <c r="BC206" i="32"/>
  <c r="BC205" i="32"/>
  <c r="BC204" i="32"/>
  <c r="BC203" i="32"/>
  <c r="BC202" i="32"/>
  <c r="BC201" i="32"/>
  <c r="BC200" i="32"/>
  <c r="BC199" i="32"/>
  <c r="BC198" i="32"/>
  <c r="BC197" i="32"/>
  <c r="BC196" i="32"/>
  <c r="BC195" i="32"/>
  <c r="BC194" i="32"/>
  <c r="BC193" i="32"/>
  <c r="BC192" i="32"/>
  <c r="BC191" i="32"/>
  <c r="BC190" i="32"/>
  <c r="BC189" i="32"/>
  <c r="BC188" i="32"/>
  <c r="BC187" i="32"/>
  <c r="BC186" i="32"/>
  <c r="BC185" i="32"/>
  <c r="BC184" i="32"/>
  <c r="BC183" i="32"/>
  <c r="BC182" i="32"/>
  <c r="BC181" i="32"/>
  <c r="BC180" i="32"/>
  <c r="BC179" i="32"/>
  <c r="BC178" i="32"/>
  <c r="BC177" i="32"/>
  <c r="BC176" i="32"/>
  <c r="BC175" i="32"/>
  <c r="BC174" i="32"/>
  <c r="BC173" i="32"/>
  <c r="BC172" i="32"/>
  <c r="BC171" i="32"/>
  <c r="BC170" i="32"/>
  <c r="BC169" i="32"/>
  <c r="BC168" i="32"/>
  <c r="BC167" i="32"/>
  <c r="BC166" i="32"/>
  <c r="BC165" i="32"/>
  <c r="BC164" i="32"/>
  <c r="BC163" i="32"/>
  <c r="BC162" i="32"/>
  <c r="BC161" i="32"/>
  <c r="BC160" i="32"/>
  <c r="BC159" i="32"/>
  <c r="BC158" i="32"/>
  <c r="BC157" i="32"/>
  <c r="BC156" i="32"/>
  <c r="BC155" i="32"/>
  <c r="BC154" i="32"/>
  <c r="BC153" i="32"/>
  <c r="BC152" i="32"/>
  <c r="BC151" i="32"/>
  <c r="BC150" i="32"/>
  <c r="BC149" i="32"/>
  <c r="BC148" i="32"/>
  <c r="BC147" i="32"/>
  <c r="BC146" i="32"/>
  <c r="BC145" i="32"/>
  <c r="BC144" i="32"/>
  <c r="BC143" i="32"/>
  <c r="BC142" i="32"/>
  <c r="BC141" i="32"/>
  <c r="BC140" i="32"/>
  <c r="BC139" i="32"/>
  <c r="BC138" i="32"/>
  <c r="BC137" i="32"/>
  <c r="BC136" i="32"/>
  <c r="BC135" i="32"/>
  <c r="BC134" i="32"/>
  <c r="BC133" i="32"/>
  <c r="BC132" i="32"/>
  <c r="BC131" i="32"/>
  <c r="BC130" i="32"/>
  <c r="BC129" i="32"/>
  <c r="BC128" i="32"/>
  <c r="BC127" i="32"/>
  <c r="BC126" i="32"/>
  <c r="BC125" i="32"/>
  <c r="BC124" i="32"/>
  <c r="BC123" i="32"/>
  <c r="BC122" i="32"/>
  <c r="BC121" i="32"/>
  <c r="BC120" i="32"/>
  <c r="BC119" i="32"/>
  <c r="BC117" i="32"/>
  <c r="BC116" i="32"/>
  <c r="AY27" i="32"/>
  <c r="AY26" i="32"/>
  <c r="AY25" i="32"/>
  <c r="AY24" i="32"/>
  <c r="AY23" i="32"/>
  <c r="AY22" i="32"/>
  <c r="AY21" i="32"/>
  <c r="AY20" i="32"/>
  <c r="AY19" i="32"/>
  <c r="AY18" i="32"/>
  <c r="AY17" i="32"/>
  <c r="AY16" i="32"/>
  <c r="AY15" i="32"/>
  <c r="AY14" i="32"/>
  <c r="AY13" i="32"/>
  <c r="AY336" i="32"/>
  <c r="AY335" i="32"/>
  <c r="AY334" i="32"/>
  <c r="AY333" i="32"/>
  <c r="AY332" i="32"/>
  <c r="AY331" i="32"/>
  <c r="AY330" i="32"/>
  <c r="AY329" i="32"/>
  <c r="AY328" i="32"/>
  <c r="AY327" i="32"/>
  <c r="AY326" i="32"/>
  <c r="AY325" i="32"/>
  <c r="AY324" i="32"/>
  <c r="AY323" i="32"/>
  <c r="AY322" i="32"/>
  <c r="AY321" i="32"/>
  <c r="AY320" i="32"/>
  <c r="AY319" i="32"/>
  <c r="AY318" i="32"/>
  <c r="AY317" i="32"/>
  <c r="AY316" i="32"/>
  <c r="AY315" i="32"/>
  <c r="AY314" i="32"/>
  <c r="AY313" i="32"/>
  <c r="AY312" i="32"/>
  <c r="AY311" i="32"/>
  <c r="AY310" i="32"/>
  <c r="AY309" i="32"/>
  <c r="AY308" i="32"/>
  <c r="AY307" i="32"/>
  <c r="AP311" i="32"/>
  <c r="AY306" i="32"/>
  <c r="AY305" i="32"/>
  <c r="AY304" i="32"/>
  <c r="AY303" i="32"/>
  <c r="AY302" i="32"/>
  <c r="AY301" i="32"/>
  <c r="AY300" i="32"/>
  <c r="AY299" i="32"/>
  <c r="AY298" i="32"/>
  <c r="AY297" i="32"/>
  <c r="AY296" i="32"/>
  <c r="AY295" i="32"/>
  <c r="AY294" i="32"/>
  <c r="AY293" i="32"/>
  <c r="AY292" i="32"/>
  <c r="AY291" i="32"/>
  <c r="AY290" i="32"/>
  <c r="AY289" i="32"/>
  <c r="AY288" i="32"/>
  <c r="AY287" i="32"/>
  <c r="AY286" i="32"/>
  <c r="AY285" i="32"/>
  <c r="AY284" i="32"/>
  <c r="AY283" i="32"/>
  <c r="AY282" i="32"/>
  <c r="AY281" i="32"/>
  <c r="AY280" i="32"/>
  <c r="AY279" i="32"/>
  <c r="AY278" i="32"/>
  <c r="AY277" i="32"/>
  <c r="AY276" i="32"/>
  <c r="AY275" i="32"/>
  <c r="AY274" i="32"/>
  <c r="AY273" i="32"/>
  <c r="AY272" i="32"/>
  <c r="AY271" i="32"/>
  <c r="AY270" i="32"/>
  <c r="AY269" i="32"/>
  <c r="AY268" i="32"/>
  <c r="AY267" i="32"/>
  <c r="AY266" i="32"/>
  <c r="AY265" i="32"/>
  <c r="AY264" i="32"/>
  <c r="AY263" i="32"/>
  <c r="AY262" i="32"/>
  <c r="AY261" i="32"/>
  <c r="AY260" i="32"/>
  <c r="AY259" i="32"/>
  <c r="AY258" i="32"/>
  <c r="AY257" i="32"/>
  <c r="AY256" i="32"/>
  <c r="AY255" i="32"/>
  <c r="AY254" i="32"/>
  <c r="AY253" i="32"/>
  <c r="AY252" i="32"/>
  <c r="AY251" i="32"/>
  <c r="AY250" i="32"/>
  <c r="AY249" i="32"/>
  <c r="AY248" i="32"/>
  <c r="AX248" i="32"/>
  <c r="AX247" i="32"/>
  <c r="AX246" i="32"/>
  <c r="AY246" i="32" s="1"/>
  <c r="AX245" i="32"/>
  <c r="AY245" i="32" s="1"/>
  <c r="AX244" i="32"/>
  <c r="AX243" i="32"/>
  <c r="AR248" i="32"/>
  <c r="AR247" i="32"/>
  <c r="AR246" i="32"/>
  <c r="AR245" i="32"/>
  <c r="AR244" i="32"/>
  <c r="AY244" i="32" s="1"/>
  <c r="AR243" i="32"/>
  <c r="AY243" i="32" s="1"/>
  <c r="AR242" i="32"/>
  <c r="AR241" i="32"/>
  <c r="AY241" i="32" s="1"/>
  <c r="AR240" i="32"/>
  <c r="AY240" i="32" s="1"/>
  <c r="AR239" i="32"/>
  <c r="AY239" i="32" s="1"/>
  <c r="AY242" i="32"/>
  <c r="AY238" i="32"/>
  <c r="AY237" i="32"/>
  <c r="AY236" i="32"/>
  <c r="AY235" i="32"/>
  <c r="AY234" i="32"/>
  <c r="AY233" i="32"/>
  <c r="AY232" i="32"/>
  <c r="AY231" i="32"/>
  <c r="AY230" i="32"/>
  <c r="AY229" i="32"/>
  <c r="AY228" i="32"/>
  <c r="AY227" i="32"/>
  <c r="AY226" i="32"/>
  <c r="AY225" i="32"/>
  <c r="AY224" i="32"/>
  <c r="AY223" i="32"/>
  <c r="AY222" i="32"/>
  <c r="AY221" i="32"/>
  <c r="AY220" i="32"/>
  <c r="AY219" i="32"/>
  <c r="AY218" i="32"/>
  <c r="AY217" i="32"/>
  <c r="AY216" i="32"/>
  <c r="AY215" i="32"/>
  <c r="AY214" i="32"/>
  <c r="AY213" i="32"/>
  <c r="AY212" i="32"/>
  <c r="AY211" i="32"/>
  <c r="AY210" i="32"/>
  <c r="AR212" i="32"/>
  <c r="AX212" i="32"/>
  <c r="AY209" i="32"/>
  <c r="AY208" i="32"/>
  <c r="AY207" i="32"/>
  <c r="AY206" i="32"/>
  <c r="AY205" i="32"/>
  <c r="AY204" i="32"/>
  <c r="AY203" i="32"/>
  <c r="AY202" i="32"/>
  <c r="AY201" i="32"/>
  <c r="AY200" i="32"/>
  <c r="AR191" i="32"/>
  <c r="AY191" i="32" s="1"/>
  <c r="AY199" i="32"/>
  <c r="AY198" i="32"/>
  <c r="AY197" i="32"/>
  <c r="AY196" i="32"/>
  <c r="AY195" i="32"/>
  <c r="AY194" i="32"/>
  <c r="AY193" i="32"/>
  <c r="AY192" i="32"/>
  <c r="AY190" i="32"/>
  <c r="AY189" i="32"/>
  <c r="AY188" i="32"/>
  <c r="AY187" i="32"/>
  <c r="AY186" i="32"/>
  <c r="AY185" i="32"/>
  <c r="AY184" i="32"/>
  <c r="AY183" i="32"/>
  <c r="AY182" i="32"/>
  <c r="AY181" i="32"/>
  <c r="AY180" i="32"/>
  <c r="AY179" i="32"/>
  <c r="AY178" i="32"/>
  <c r="AY177" i="32"/>
  <c r="AY176" i="32"/>
  <c r="AP178" i="32"/>
  <c r="AY175" i="32"/>
  <c r="AY174" i="32"/>
  <c r="AY173" i="32"/>
  <c r="AY172" i="32"/>
  <c r="AY171" i="32"/>
  <c r="AY170" i="32"/>
  <c r="AP172" i="32"/>
  <c r="AR171" i="32"/>
  <c r="AY169" i="32"/>
  <c r="AY168" i="32"/>
  <c r="AP170" i="32"/>
  <c r="AY167" i="32"/>
  <c r="AY166" i="32"/>
  <c r="AY165" i="32"/>
  <c r="AY164" i="32"/>
  <c r="AY163" i="32"/>
  <c r="AY162" i="32"/>
  <c r="AY161" i="32"/>
  <c r="AY160" i="32"/>
  <c r="AY159" i="32"/>
  <c r="AY158" i="32"/>
  <c r="AY157" i="32"/>
  <c r="AY156" i="32"/>
  <c r="AP160" i="32"/>
  <c r="AP157" i="32"/>
  <c r="AY153" i="32"/>
  <c r="AY152" i="32"/>
  <c r="AY151" i="32"/>
  <c r="AP153" i="32"/>
  <c r="AP152" i="32"/>
  <c r="AY150" i="32"/>
  <c r="AY149" i="32"/>
  <c r="AY148" i="32"/>
  <c r="AY147" i="32"/>
  <c r="AY146" i="32"/>
  <c r="AY145" i="32"/>
  <c r="AY144" i="32"/>
  <c r="AY143" i="32"/>
  <c r="AY142" i="32"/>
  <c r="BE336" i="32"/>
  <c r="BE335" i="32"/>
  <c r="BE334" i="32"/>
  <c r="BE333" i="32"/>
  <c r="BE332" i="32"/>
  <c r="BE331" i="32"/>
  <c r="BE330" i="32"/>
  <c r="BE329" i="32"/>
  <c r="BE328" i="32"/>
  <c r="BE327" i="32"/>
  <c r="BE326" i="32"/>
  <c r="BE325" i="32"/>
  <c r="BE324" i="32"/>
  <c r="BE323" i="32"/>
  <c r="BE322" i="32"/>
  <c r="BE321" i="32"/>
  <c r="BE320" i="32"/>
  <c r="BE319" i="32"/>
  <c r="BE318" i="32"/>
  <c r="BE317" i="32"/>
  <c r="BE316" i="32"/>
  <c r="BE315" i="32"/>
  <c r="BE314" i="32"/>
  <c r="BE313" i="32"/>
  <c r="BE312" i="32"/>
  <c r="BE311" i="32"/>
  <c r="BE310" i="32"/>
  <c r="BE309" i="32"/>
  <c r="BE308" i="32"/>
  <c r="BE307" i="32"/>
  <c r="BE306" i="32"/>
  <c r="BE305" i="32"/>
  <c r="BE304" i="32"/>
  <c r="BE303" i="32"/>
  <c r="BE302" i="32"/>
  <c r="BE301" i="32"/>
  <c r="BE300" i="32"/>
  <c r="BE299" i="32"/>
  <c r="BE298" i="32"/>
  <c r="BE297" i="32"/>
  <c r="BE296" i="32"/>
  <c r="BE295" i="32"/>
  <c r="BE294" i="32"/>
  <c r="BE293" i="32"/>
  <c r="BE292" i="32"/>
  <c r="BE291" i="32"/>
  <c r="BE290" i="32"/>
  <c r="BE289" i="32"/>
  <c r="BE288" i="32"/>
  <c r="BE287" i="32"/>
  <c r="BE286" i="32"/>
  <c r="BE285" i="32"/>
  <c r="BE284" i="32"/>
  <c r="BE283" i="32"/>
  <c r="BE282" i="32"/>
  <c r="BE281" i="32"/>
  <c r="BE280" i="32"/>
  <c r="BE279" i="32"/>
  <c r="BE278" i="32"/>
  <c r="BE277" i="32"/>
  <c r="BE276" i="32"/>
  <c r="BE275" i="32"/>
  <c r="BE274" i="32"/>
  <c r="BE273" i="32"/>
  <c r="BE272" i="32"/>
  <c r="BE271" i="32"/>
  <c r="BE270" i="32"/>
  <c r="BE269" i="32"/>
  <c r="BE268" i="32"/>
  <c r="BE267" i="32"/>
  <c r="BE266" i="32"/>
  <c r="BE265" i="32"/>
  <c r="BE264" i="32"/>
  <c r="BE263" i="32"/>
  <c r="BE262" i="32"/>
  <c r="BE261" i="32"/>
  <c r="BE260" i="32"/>
  <c r="BE259" i="32"/>
  <c r="BE258" i="32"/>
  <c r="BE257" i="32"/>
  <c r="BE256" i="32"/>
  <c r="BE255" i="32"/>
  <c r="BE254" i="32"/>
  <c r="BE253" i="32"/>
  <c r="BE252" i="32"/>
  <c r="BE251" i="32"/>
  <c r="BE250" i="32"/>
  <c r="BE249" i="32"/>
  <c r="BE248" i="32"/>
  <c r="BE247" i="32"/>
  <c r="BE246" i="32"/>
  <c r="BE245" i="32"/>
  <c r="BE244" i="32"/>
  <c r="BE243" i="32"/>
  <c r="BE242" i="32"/>
  <c r="BE241" i="32"/>
  <c r="BE240" i="32"/>
  <c r="BE239" i="32"/>
  <c r="BE238" i="32"/>
  <c r="BE237" i="32"/>
  <c r="BE236" i="32"/>
  <c r="BE235" i="32"/>
  <c r="BE234" i="32"/>
  <c r="BE233" i="32"/>
  <c r="BE232" i="32"/>
  <c r="BE231" i="32"/>
  <c r="BE230" i="32"/>
  <c r="BE229" i="32"/>
  <c r="BE228" i="32"/>
  <c r="BE227" i="32"/>
  <c r="BE226" i="32"/>
  <c r="BE225" i="32"/>
  <c r="BE224" i="32"/>
  <c r="BE223" i="32"/>
  <c r="BE222" i="32"/>
  <c r="BE221" i="32"/>
  <c r="BE220" i="32"/>
  <c r="BE219" i="32"/>
  <c r="BE218" i="32"/>
  <c r="BE217" i="32"/>
  <c r="BE216" i="32"/>
  <c r="BE215" i="32"/>
  <c r="BE214" i="32"/>
  <c r="BE213" i="32"/>
  <c r="BE212" i="32"/>
  <c r="BE211" i="32"/>
  <c r="BE210" i="32"/>
  <c r="BE209" i="32"/>
  <c r="BE208" i="32"/>
  <c r="BE207" i="32"/>
  <c r="BE206" i="32"/>
  <c r="BE205" i="32"/>
  <c r="BE204" i="32"/>
  <c r="BE203" i="32"/>
  <c r="BE202" i="32"/>
  <c r="BE201" i="32"/>
  <c r="BE200" i="32"/>
  <c r="BE199" i="32"/>
  <c r="BE198" i="32"/>
  <c r="BE197" i="32"/>
  <c r="BE196" i="32"/>
  <c r="BE195" i="32"/>
  <c r="BE194" i="32"/>
  <c r="BE193" i="32"/>
  <c r="BE192" i="32"/>
  <c r="BE191" i="32"/>
  <c r="BE190" i="32"/>
  <c r="BE189" i="32"/>
  <c r="BE188" i="32"/>
  <c r="BE187" i="32"/>
  <c r="BE186" i="32"/>
  <c r="BE185" i="32"/>
  <c r="BE184" i="32"/>
  <c r="BE183" i="32"/>
  <c r="BE182" i="32"/>
  <c r="BE181" i="32"/>
  <c r="BE180" i="32"/>
  <c r="BE179" i="32"/>
  <c r="BE178" i="32"/>
  <c r="BE177" i="32"/>
  <c r="BE176" i="32"/>
  <c r="BE175" i="32"/>
  <c r="BE174" i="32"/>
  <c r="BE173" i="32"/>
  <c r="BE172" i="32"/>
  <c r="BE171" i="32"/>
  <c r="BE170" i="32"/>
  <c r="BE169" i="32"/>
  <c r="BE168" i="32"/>
  <c r="BE167" i="32"/>
  <c r="BE166" i="32"/>
  <c r="BE165" i="32"/>
  <c r="BE164" i="32"/>
  <c r="BE163" i="32"/>
  <c r="BE162" i="32"/>
  <c r="BE161" i="32"/>
  <c r="BE160" i="32"/>
  <c r="BE159" i="32"/>
  <c r="BE158" i="32"/>
  <c r="BE157" i="32"/>
  <c r="BE156" i="32"/>
  <c r="BE155" i="32"/>
  <c r="BE154" i="32"/>
  <c r="BE153" i="32"/>
  <c r="BE152" i="32"/>
  <c r="BE151" i="32"/>
  <c r="BE150" i="32"/>
  <c r="BE149" i="32"/>
  <c r="BE148" i="32"/>
  <c r="BE147" i="32"/>
  <c r="BE146" i="32"/>
  <c r="BE145" i="32"/>
  <c r="BE144" i="32"/>
  <c r="BE143" i="32"/>
  <c r="BE142" i="32"/>
  <c r="BE141" i="32"/>
  <c r="BE140" i="32"/>
  <c r="BE139" i="32"/>
  <c r="BE138" i="32"/>
  <c r="BE137" i="32"/>
  <c r="BE136" i="32"/>
  <c r="BE135" i="32"/>
  <c r="BE134" i="32"/>
  <c r="BE133" i="32"/>
  <c r="BE132" i="32"/>
  <c r="AY141" i="32"/>
  <c r="AY140" i="32"/>
  <c r="AY139" i="32"/>
  <c r="AY138" i="32"/>
  <c r="AY137" i="32"/>
  <c r="AY136" i="32"/>
  <c r="AY135" i="32"/>
  <c r="AY134" i="32"/>
  <c r="AY133" i="32"/>
  <c r="AY132" i="32"/>
  <c r="AY131" i="32"/>
  <c r="AY130" i="32"/>
  <c r="AY129" i="32"/>
  <c r="AY128" i="32"/>
  <c r="AY127" i="32"/>
  <c r="AY126" i="32"/>
  <c r="AY125" i="32"/>
  <c r="AY124" i="32"/>
  <c r="AY123" i="32"/>
  <c r="AY122" i="32"/>
  <c r="AY121" i="32"/>
  <c r="AY120" i="32"/>
  <c r="AY119" i="32"/>
  <c r="AR118" i="32"/>
  <c r="AX118" i="32"/>
  <c r="AY118" i="32"/>
  <c r="AY117" i="32"/>
  <c r="AY116" i="32"/>
  <c r="AY115" i="32"/>
  <c r="AY114" i="32"/>
  <c r="AY113" i="32"/>
  <c r="AY112" i="32"/>
  <c r="AY111" i="32"/>
  <c r="AY110" i="32"/>
  <c r="AY109" i="32"/>
  <c r="AY108" i="32"/>
  <c r="AY107" i="32"/>
  <c r="AY106" i="32"/>
  <c r="AY105" i="32"/>
  <c r="AY104" i="32"/>
  <c r="AY103" i="32"/>
  <c r="AY102" i="32"/>
  <c r="AY101" i="32"/>
  <c r="AY100" i="32"/>
  <c r="AY99" i="32"/>
  <c r="AY98" i="32"/>
  <c r="AY97" i="32"/>
  <c r="AY96" i="32"/>
  <c r="AY95" i="32"/>
  <c r="AY94" i="32"/>
  <c r="AY93" i="32"/>
  <c r="AY92" i="32"/>
  <c r="AY91" i="32"/>
  <c r="AY90" i="32"/>
  <c r="AY89" i="32"/>
  <c r="AP93" i="32"/>
  <c r="AR92" i="32"/>
  <c r="AR91" i="32"/>
  <c r="AR90" i="32"/>
  <c r="AY88" i="32"/>
  <c r="AY87" i="32"/>
  <c r="AY86" i="32"/>
  <c r="AY85" i="32"/>
  <c r="AY84" i="32"/>
  <c r="AY83" i="32"/>
  <c r="AY82" i="32"/>
  <c r="AY81" i="32"/>
  <c r="AY80" i="32"/>
  <c r="AY79" i="32"/>
  <c r="AY78" i="32"/>
  <c r="AY77" i="32"/>
  <c r="AY76" i="32"/>
  <c r="AY75" i="32"/>
  <c r="AY74" i="32"/>
  <c r="AY73" i="32"/>
  <c r="AY72" i="32"/>
  <c r="AP75" i="32"/>
  <c r="AP74" i="32"/>
  <c r="AY71" i="32"/>
  <c r="AY70" i="32"/>
  <c r="AY69" i="32"/>
  <c r="AY68" i="32"/>
  <c r="AP71" i="32"/>
  <c r="AY67" i="32"/>
  <c r="AY66" i="32"/>
  <c r="AY65" i="32"/>
  <c r="AY64" i="32"/>
  <c r="AY63" i="32"/>
  <c r="AY62" i="32"/>
  <c r="AY61" i="32"/>
  <c r="AY60" i="32"/>
  <c r="AY59" i="32"/>
  <c r="AY58" i="32"/>
  <c r="AY57" i="32"/>
  <c r="AY56" i="32"/>
  <c r="AY55" i="32"/>
  <c r="AY54" i="32"/>
  <c r="AY53" i="32"/>
  <c r="AY52" i="32"/>
  <c r="AY51" i="32"/>
  <c r="AY50" i="32"/>
  <c r="AY49" i="32"/>
  <c r="AY48" i="32"/>
  <c r="AY47" i="32"/>
  <c r="AY46" i="32"/>
  <c r="AY45" i="32"/>
  <c r="AY44" i="32"/>
  <c r="AY43" i="32"/>
  <c r="AY42" i="32"/>
  <c r="AY41" i="32"/>
  <c r="AY40" i="32"/>
  <c r="AY39" i="32"/>
  <c r="AY38" i="32"/>
  <c r="AY37" i="32"/>
  <c r="AY36" i="32"/>
  <c r="AY35" i="32"/>
  <c r="AY34" i="32"/>
  <c r="AY33" i="32"/>
  <c r="AY32" i="32"/>
  <c r="AY31" i="32"/>
  <c r="AY30" i="32"/>
  <c r="AY29" i="32"/>
  <c r="AY28" i="32"/>
  <c r="AY7" i="32"/>
  <c r="AP69" i="32"/>
  <c r="AO66" i="32"/>
  <c r="AP66" i="32"/>
  <c r="AR57" i="32"/>
  <c r="AO57" i="32"/>
  <c r="AO46" i="32"/>
  <c r="AO44" i="32"/>
  <c r="AP27" i="32"/>
  <c r="AO27" i="32"/>
  <c r="AO23" i="32"/>
  <c r="AP23" i="32"/>
  <c r="AY247" i="32" l="1"/>
  <c r="AP19" i="32"/>
  <c r="AX17" i="32"/>
  <c r="AO17" i="32"/>
  <c r="AP17" i="32"/>
  <c r="AO16" i="32"/>
  <c r="AP15" i="32"/>
  <c r="AO13" i="32"/>
  <c r="AO7" i="32"/>
  <c r="T336" i="32"/>
  <c r="T335" i="32"/>
  <c r="T334" i="32"/>
  <c r="T333" i="32"/>
  <c r="T332" i="32"/>
  <c r="T331" i="32"/>
  <c r="T330" i="32"/>
  <c r="T329" i="32"/>
  <c r="T328" i="32"/>
  <c r="T327" i="32"/>
  <c r="T326" i="32"/>
  <c r="T325" i="32"/>
  <c r="T324" i="32"/>
  <c r="T323" i="32"/>
  <c r="T322" i="32"/>
  <c r="T321" i="32"/>
  <c r="T320" i="32"/>
  <c r="T319" i="32"/>
  <c r="T318" i="32"/>
  <c r="T317" i="32"/>
  <c r="T316" i="32"/>
  <c r="T315" i="32"/>
  <c r="T314" i="32"/>
  <c r="T313" i="32"/>
  <c r="T312" i="32"/>
  <c r="T311" i="32"/>
  <c r="T310" i="32"/>
  <c r="T309" i="32"/>
  <c r="T308" i="32"/>
  <c r="T307" i="32"/>
  <c r="T306" i="32"/>
  <c r="T305" i="32"/>
  <c r="T304" i="32"/>
  <c r="T303" i="32"/>
  <c r="T302" i="32"/>
  <c r="T301" i="32"/>
  <c r="T300" i="32"/>
  <c r="T299" i="32"/>
  <c r="T298" i="32"/>
  <c r="T297" i="32"/>
  <c r="T296" i="32"/>
  <c r="T295" i="32"/>
  <c r="T294" i="32"/>
  <c r="T293" i="32"/>
  <c r="T292" i="32"/>
  <c r="T291" i="32"/>
  <c r="T290" i="32"/>
  <c r="T289" i="32"/>
  <c r="T288" i="32"/>
  <c r="T287" i="32"/>
  <c r="T286" i="32"/>
  <c r="T285" i="32"/>
  <c r="T284" i="32"/>
  <c r="T283" i="32"/>
  <c r="T282" i="32"/>
  <c r="T281" i="32"/>
  <c r="T280" i="32"/>
  <c r="T279" i="32"/>
  <c r="T278" i="32"/>
  <c r="T277" i="32"/>
  <c r="T276" i="32"/>
  <c r="T275" i="32"/>
  <c r="T274" i="32"/>
  <c r="T273" i="32"/>
  <c r="T272" i="32"/>
  <c r="T271" i="32"/>
  <c r="T270" i="32"/>
  <c r="T269" i="32"/>
  <c r="T268" i="32"/>
  <c r="T267" i="32"/>
  <c r="T266" i="32"/>
  <c r="T265" i="32"/>
  <c r="T264" i="32"/>
  <c r="T263" i="32"/>
  <c r="T262" i="32"/>
  <c r="T261" i="32"/>
  <c r="T260" i="32"/>
  <c r="T259" i="32"/>
  <c r="T258" i="32"/>
  <c r="T257" i="32"/>
  <c r="T256" i="32"/>
  <c r="T255" i="32"/>
  <c r="T254" i="32"/>
  <c r="T253" i="32"/>
  <c r="T252" i="32"/>
  <c r="T251" i="32"/>
  <c r="T250" i="32"/>
  <c r="T249" i="32"/>
  <c r="T248" i="32"/>
  <c r="T247" i="32"/>
  <c r="T246" i="32"/>
  <c r="T245" i="32"/>
  <c r="T244" i="32"/>
  <c r="T243" i="32"/>
  <c r="T242" i="32"/>
  <c r="T241" i="32"/>
  <c r="T240" i="32"/>
  <c r="T239" i="32"/>
  <c r="T238" i="32"/>
  <c r="T237" i="32"/>
  <c r="T236" i="32"/>
  <c r="T235" i="32"/>
  <c r="T234" i="32"/>
  <c r="T233" i="32"/>
  <c r="T232" i="32"/>
  <c r="T231" i="32"/>
  <c r="T230" i="32"/>
  <c r="T229" i="32"/>
  <c r="T228" i="32"/>
  <c r="T227" i="32"/>
  <c r="T226" i="32"/>
  <c r="T225" i="32"/>
  <c r="T224" i="32"/>
  <c r="T223" i="32"/>
  <c r="T222" i="32"/>
  <c r="T221" i="32"/>
  <c r="T220" i="32"/>
  <c r="T219" i="32"/>
  <c r="T218" i="32"/>
  <c r="T217" i="32"/>
  <c r="T216" i="32"/>
  <c r="T215" i="32"/>
  <c r="T214" i="32"/>
  <c r="T213" i="32"/>
  <c r="T212" i="32"/>
  <c r="T211" i="32"/>
  <c r="T210" i="32"/>
  <c r="T209" i="32"/>
  <c r="T208" i="32"/>
  <c r="T207" i="32"/>
  <c r="T206" i="32"/>
  <c r="T205" i="32"/>
  <c r="T204" i="32"/>
  <c r="T203" i="32"/>
  <c r="T202" i="32"/>
  <c r="T201" i="32"/>
  <c r="T200" i="32"/>
  <c r="T199" i="32"/>
  <c r="T198" i="32"/>
  <c r="T197" i="32"/>
  <c r="T196" i="32"/>
  <c r="T195" i="32"/>
  <c r="T194" i="32"/>
  <c r="T193" i="32"/>
  <c r="T192" i="32"/>
  <c r="T191" i="32"/>
  <c r="T190" i="32"/>
  <c r="T189" i="32"/>
  <c r="T188" i="32"/>
  <c r="T187" i="32"/>
  <c r="T186" i="32"/>
  <c r="T185" i="32"/>
  <c r="T184" i="32"/>
  <c r="T183" i="32"/>
  <c r="T182" i="32"/>
  <c r="T181" i="32"/>
  <c r="T180" i="32"/>
  <c r="T179" i="32"/>
  <c r="T178" i="32"/>
  <c r="T177" i="32"/>
  <c r="T176" i="32"/>
  <c r="T175" i="32"/>
  <c r="T174" i="32"/>
  <c r="T173" i="32"/>
  <c r="T172" i="32"/>
  <c r="T171" i="32"/>
  <c r="T170" i="32"/>
  <c r="T169" i="32"/>
  <c r="T168" i="32"/>
  <c r="T167" i="32"/>
  <c r="T166" i="32"/>
  <c r="T165" i="32"/>
  <c r="T164" i="32"/>
  <c r="T163" i="32"/>
  <c r="T162" i="32"/>
  <c r="T161" i="32"/>
  <c r="T160" i="32"/>
  <c r="T159" i="32"/>
  <c r="T158" i="32"/>
  <c r="T157" i="32"/>
  <c r="T156" i="32"/>
  <c r="T155" i="32"/>
  <c r="T154" i="32"/>
  <c r="T153" i="32"/>
  <c r="T152" i="32"/>
  <c r="T151" i="32"/>
  <c r="T150" i="32"/>
  <c r="T149" i="32"/>
  <c r="T148" i="32"/>
  <c r="T147" i="32"/>
  <c r="T146" i="32"/>
  <c r="T145" i="32"/>
  <c r="T144" i="32"/>
  <c r="T143" i="32"/>
  <c r="T142" i="32"/>
  <c r="T141" i="32"/>
  <c r="T140" i="32"/>
  <c r="T139" i="32"/>
  <c r="T138" i="32"/>
  <c r="T137" i="32"/>
  <c r="T136" i="32"/>
  <c r="T135" i="32"/>
  <c r="T134" i="32"/>
  <c r="T133" i="32"/>
  <c r="T132" i="32"/>
  <c r="T131" i="32"/>
  <c r="T130" i="32"/>
  <c r="T129" i="32"/>
  <c r="T128" i="32"/>
  <c r="T127" i="32"/>
  <c r="T126" i="32"/>
  <c r="T125" i="32"/>
  <c r="T124" i="32"/>
  <c r="T123" i="32"/>
  <c r="T122" i="32"/>
  <c r="T121" i="32"/>
  <c r="T120" i="32"/>
  <c r="T119" i="32"/>
  <c r="T118" i="32"/>
  <c r="T117" i="32"/>
  <c r="T116" i="32"/>
  <c r="T115" i="32"/>
  <c r="T114" i="32"/>
  <c r="T113" i="32"/>
  <c r="T112" i="32"/>
  <c r="T111" i="32"/>
  <c r="T110" i="32"/>
  <c r="T109" i="32"/>
  <c r="T108" i="32"/>
  <c r="T107" i="32"/>
  <c r="T106" i="32"/>
  <c r="T105" i="32"/>
  <c r="T104" i="32"/>
  <c r="T103" i="32"/>
  <c r="T102" i="32"/>
  <c r="T101" i="32"/>
  <c r="T100" i="32"/>
  <c r="T99" i="32"/>
  <c r="T98" i="32"/>
  <c r="T97" i="32"/>
  <c r="T96" i="32"/>
  <c r="T95" i="32"/>
  <c r="T94" i="32"/>
  <c r="T93" i="32"/>
  <c r="T92" i="32"/>
  <c r="T91" i="32"/>
  <c r="T90" i="32"/>
  <c r="T89" i="32"/>
  <c r="T88" i="32"/>
  <c r="T87" i="32"/>
  <c r="T86" i="32"/>
  <c r="T85" i="32"/>
  <c r="T84" i="32"/>
  <c r="T83" i="32"/>
  <c r="T82" i="32"/>
  <c r="T81" i="32"/>
  <c r="T80" i="32"/>
  <c r="T79" i="32"/>
  <c r="T78" i="32"/>
  <c r="T77" i="32"/>
  <c r="T76" i="32"/>
  <c r="T75" i="32"/>
  <c r="T74" i="32"/>
  <c r="T73" i="32"/>
  <c r="T72" i="32"/>
  <c r="T71" i="32"/>
  <c r="T70" i="32"/>
  <c r="T69" i="32"/>
  <c r="T68" i="32"/>
  <c r="T67" i="32"/>
  <c r="T66" i="32"/>
  <c r="T65" i="32"/>
  <c r="T64" i="32"/>
  <c r="T63" i="32"/>
  <c r="T62" i="32"/>
  <c r="T61" i="32"/>
  <c r="T60" i="32"/>
  <c r="T59" i="32"/>
  <c r="T58" i="32"/>
  <c r="T57" i="32"/>
  <c r="T56" i="32"/>
  <c r="T55" i="32"/>
  <c r="T54" i="32"/>
  <c r="T53" i="32"/>
  <c r="T52" i="32"/>
  <c r="T51" i="32"/>
  <c r="T50" i="32"/>
  <c r="T49" i="32"/>
  <c r="T48" i="32"/>
  <c r="T47" i="32"/>
  <c r="T46" i="32"/>
  <c r="T45" i="32"/>
  <c r="T44" i="32"/>
  <c r="T43" i="32"/>
  <c r="T42" i="32"/>
  <c r="T41" i="32"/>
  <c r="T40" i="32"/>
  <c r="T39" i="32"/>
  <c r="T38" i="32"/>
  <c r="T37" i="32"/>
  <c r="T36" i="32"/>
  <c r="T35" i="32"/>
  <c r="T34" i="32"/>
  <c r="T33" i="32"/>
  <c r="T32" i="32"/>
  <c r="T31" i="32"/>
  <c r="T30" i="32"/>
  <c r="T29" i="32"/>
  <c r="T28" i="32"/>
  <c r="T27" i="32"/>
  <c r="T26" i="32"/>
  <c r="T25" i="32"/>
  <c r="T24" i="32"/>
  <c r="T23" i="32"/>
  <c r="T22" i="32"/>
  <c r="T21" i="32"/>
  <c r="T20" i="32"/>
  <c r="T19" i="32"/>
  <c r="T18" i="32"/>
  <c r="T17" i="32"/>
  <c r="T16" i="32"/>
  <c r="T15" i="32"/>
  <c r="T14" i="32"/>
  <c r="T13" i="32"/>
  <c r="T12" i="32"/>
  <c r="T11" i="32"/>
  <c r="T10" i="32"/>
  <c r="T9" i="32"/>
  <c r="T8" i="32"/>
  <c r="T7" i="32"/>
  <c r="K286" i="32"/>
  <c r="K285" i="32"/>
  <c r="K283" i="32"/>
  <c r="K282" i="32"/>
  <c r="K284" i="32"/>
  <c r="K281" i="32"/>
  <c r="K280" i="32"/>
  <c r="K279" i="32"/>
  <c r="K278" i="32"/>
  <c r="K297" i="32"/>
  <c r="K296" i="32"/>
  <c r="K295" i="32"/>
  <c r="K294" i="32"/>
  <c r="K293" i="32"/>
  <c r="K292" i="32"/>
  <c r="K291" i="32"/>
  <c r="K290" i="32"/>
  <c r="K289" i="32"/>
  <c r="K288" i="32"/>
  <c r="K287" i="32"/>
  <c r="K277" i="32"/>
  <c r="K276" i="32"/>
  <c r="K275" i="32"/>
  <c r="K274" i="32"/>
  <c r="K273" i="32"/>
  <c r="K272" i="32"/>
  <c r="K271" i="32"/>
  <c r="K270" i="32"/>
  <c r="K269" i="32"/>
  <c r="K268" i="32"/>
  <c r="K267" i="32"/>
  <c r="K266" i="32"/>
  <c r="K265" i="32"/>
  <c r="K336" i="32"/>
  <c r="K335" i="32"/>
  <c r="K334" i="32"/>
  <c r="K333" i="32"/>
  <c r="K332" i="32"/>
  <c r="K331" i="32"/>
  <c r="K330" i="32"/>
  <c r="K329" i="32"/>
  <c r="K328" i="32"/>
  <c r="K327" i="32"/>
  <c r="K326" i="32"/>
  <c r="K325" i="32"/>
  <c r="K324" i="32"/>
  <c r="K323" i="32"/>
  <c r="K322" i="32"/>
  <c r="K321" i="32"/>
  <c r="K320" i="32"/>
  <c r="K319" i="32"/>
  <c r="K318" i="32"/>
  <c r="K317" i="32"/>
  <c r="K316" i="32"/>
  <c r="K315" i="32"/>
  <c r="K314" i="32"/>
  <c r="K313" i="32"/>
  <c r="K312" i="32"/>
  <c r="K311" i="32"/>
  <c r="K310" i="32"/>
  <c r="K309" i="32"/>
  <c r="K308" i="32"/>
  <c r="K307" i="32"/>
  <c r="K306" i="32"/>
  <c r="K305" i="32"/>
  <c r="K304" i="32"/>
  <c r="K303" i="32"/>
  <c r="K302" i="32"/>
  <c r="K301" i="32"/>
  <c r="K300" i="32"/>
  <c r="K299" i="32"/>
  <c r="K298" i="32"/>
  <c r="K264" i="32"/>
  <c r="K263" i="32"/>
  <c r="K262" i="32"/>
  <c r="K261" i="32"/>
  <c r="K260" i="32"/>
  <c r="K259" i="32"/>
  <c r="K258" i="32"/>
  <c r="K257" i="32"/>
  <c r="K256" i="32"/>
  <c r="K255" i="32"/>
  <c r="K254" i="32"/>
  <c r="K253" i="32"/>
  <c r="K252" i="32"/>
  <c r="K251" i="32"/>
  <c r="K250" i="32"/>
  <c r="K249" i="32"/>
  <c r="K248" i="32"/>
  <c r="K247" i="32"/>
  <c r="K246" i="32"/>
  <c r="K245" i="32"/>
  <c r="K244" i="32"/>
  <c r="K243" i="32"/>
  <c r="K242" i="32"/>
  <c r="K241" i="32"/>
  <c r="K240" i="32"/>
  <c r="K239" i="32"/>
  <c r="K238" i="32"/>
  <c r="K237" i="32"/>
  <c r="K236" i="32"/>
  <c r="K235" i="32"/>
  <c r="K234" i="32"/>
  <c r="K233" i="32"/>
  <c r="K232" i="32"/>
  <c r="K231" i="32"/>
  <c r="K230" i="32"/>
  <c r="K229" i="32"/>
  <c r="K228" i="32"/>
  <c r="K227" i="32"/>
  <c r="K226" i="32"/>
  <c r="K225" i="32"/>
  <c r="K224" i="32"/>
  <c r="K223" i="32"/>
  <c r="K222" i="32"/>
  <c r="K221" i="32"/>
  <c r="K220" i="32"/>
  <c r="K219" i="32"/>
  <c r="K218" i="32"/>
  <c r="K217" i="32"/>
  <c r="K216" i="32"/>
  <c r="K215" i="32"/>
  <c r="K214" i="32"/>
  <c r="K213" i="32"/>
  <c r="K212" i="32"/>
  <c r="K211" i="32"/>
  <c r="K210" i="32"/>
  <c r="K209" i="32"/>
  <c r="K208" i="32"/>
  <c r="K207" i="32"/>
  <c r="K206" i="32"/>
  <c r="K205" i="32"/>
  <c r="K204" i="32"/>
  <c r="K203" i="32"/>
  <c r="K202" i="32"/>
  <c r="K201" i="32"/>
  <c r="K200" i="32"/>
  <c r="K199" i="32"/>
  <c r="K198" i="32"/>
  <c r="K197" i="32"/>
  <c r="K196" i="32"/>
  <c r="K195" i="32"/>
  <c r="K194" i="32"/>
  <c r="K193" i="32"/>
  <c r="K192" i="32"/>
  <c r="K191" i="32"/>
  <c r="K190" i="32"/>
  <c r="K189" i="32"/>
  <c r="K188" i="32"/>
  <c r="K187" i="32"/>
  <c r="K186" i="32"/>
  <c r="K185" i="32"/>
  <c r="K184" i="32"/>
  <c r="K183" i="32"/>
  <c r="K182" i="32"/>
  <c r="K181" i="32"/>
  <c r="K180" i="32"/>
  <c r="K179" i="32"/>
  <c r="K178" i="32"/>
  <c r="K177" i="32"/>
  <c r="K176" i="32"/>
  <c r="K175" i="32"/>
  <c r="K174" i="32"/>
  <c r="K173" i="32"/>
  <c r="K172" i="32"/>
  <c r="K171" i="32"/>
  <c r="K170" i="32"/>
  <c r="K169" i="32"/>
  <c r="K168" i="32"/>
  <c r="K167" i="32"/>
  <c r="K166" i="32"/>
  <c r="K165" i="32"/>
  <c r="K164" i="32"/>
  <c r="K163" i="32"/>
  <c r="K162" i="32"/>
  <c r="K161" i="32"/>
  <c r="K160" i="32"/>
  <c r="K159" i="32"/>
  <c r="K158" i="32"/>
  <c r="K157" i="32"/>
  <c r="K156" i="32"/>
  <c r="K155" i="32"/>
  <c r="K154" i="32"/>
  <c r="K153" i="32"/>
  <c r="K152" i="32"/>
  <c r="K151" i="32"/>
  <c r="K150" i="32"/>
  <c r="K149" i="32"/>
  <c r="K148" i="32"/>
  <c r="K147" i="32"/>
  <c r="K146" i="32"/>
  <c r="K145" i="32"/>
  <c r="K144" i="32"/>
  <c r="K143" i="32"/>
  <c r="K142" i="32"/>
  <c r="K141" i="32"/>
  <c r="K140" i="32"/>
  <c r="K139" i="32"/>
  <c r="K138" i="32"/>
  <c r="K136" i="32"/>
  <c r="K137" i="32"/>
  <c r="K135" i="32"/>
  <c r="K134" i="32"/>
  <c r="K133" i="32"/>
  <c r="K132" i="32"/>
  <c r="K131" i="32"/>
  <c r="K130" i="32"/>
  <c r="K129" i="32"/>
  <c r="K128" i="32"/>
  <c r="K127" i="32"/>
  <c r="K126" i="32"/>
  <c r="K125" i="32"/>
  <c r="K124" i="32"/>
  <c r="K123" i="32"/>
  <c r="K122" i="32"/>
  <c r="K119" i="32"/>
  <c r="K121" i="32"/>
  <c r="K120" i="32"/>
  <c r="K118" i="32"/>
  <c r="K117" i="32"/>
  <c r="K116" i="32"/>
  <c r="D40" i="33" l="1"/>
  <c r="C40" i="33"/>
  <c r="B40" i="33"/>
  <c r="E40" i="33" l="1"/>
  <c r="E6" i="33" l="1"/>
  <c r="B17" i="33"/>
  <c r="B42" i="33" s="1"/>
  <c r="C17" i="33"/>
  <c r="C42" i="33" s="1"/>
  <c r="D17" i="33"/>
  <c r="D42" i="33" s="1"/>
  <c r="C8" i="59"/>
  <c r="Q4" i="32"/>
  <c r="I61" i="4"/>
  <c r="I56" i="4"/>
  <c r="AA11" i="60"/>
  <c r="AA10" i="60"/>
  <c r="AA9" i="60"/>
  <c r="AA8" i="60"/>
  <c r="AA7" i="60"/>
  <c r="B1" i="24"/>
  <c r="E17" i="33" l="1"/>
  <c r="K328" i="26"/>
  <c r="K78" i="26"/>
  <c r="K166" i="26"/>
  <c r="K315" i="26"/>
  <c r="K307" i="26"/>
  <c r="K331" i="26"/>
  <c r="K101" i="26"/>
  <c r="K108" i="26"/>
  <c r="K291" i="26"/>
  <c r="K281" i="26"/>
  <c r="K100" i="26"/>
  <c r="K148" i="26"/>
  <c r="K249" i="26"/>
  <c r="K65" i="26"/>
  <c r="K329" i="26"/>
  <c r="K172" i="26"/>
  <c r="K297" i="26"/>
  <c r="K188" i="26"/>
  <c r="K267" i="26"/>
  <c r="K243" i="26"/>
  <c r="K72" i="26"/>
  <c r="K44" i="26"/>
  <c r="K273" i="26"/>
  <c r="K96" i="26"/>
  <c r="K206" i="26"/>
  <c r="K42" i="26"/>
  <c r="K220" i="26"/>
  <c r="K286" i="26"/>
  <c r="K138" i="26"/>
  <c r="K133" i="26"/>
  <c r="K145" i="26"/>
  <c r="K316" i="26"/>
  <c r="K167" i="26"/>
  <c r="K178" i="26"/>
  <c r="K158" i="26"/>
  <c r="K147" i="26"/>
  <c r="K16" i="26"/>
  <c r="K91" i="26"/>
  <c r="K12" i="26"/>
  <c r="K218" i="26"/>
  <c r="K305" i="26"/>
  <c r="K46" i="26"/>
  <c r="K292" i="26"/>
  <c r="K43" i="26"/>
  <c r="K306" i="26"/>
  <c r="K63" i="26"/>
  <c r="K303" i="26"/>
  <c r="K302" i="26"/>
  <c r="K80" i="26"/>
  <c r="K287" i="26"/>
  <c r="K240" i="26"/>
  <c r="K106" i="26"/>
  <c r="K228" i="26"/>
  <c r="K194" i="26"/>
  <c r="K296" i="26"/>
  <c r="K184" i="26"/>
  <c r="K330" i="26"/>
  <c r="K127" i="26"/>
  <c r="K185" i="26"/>
  <c r="K152" i="26"/>
  <c r="K45" i="26"/>
  <c r="K89" i="26"/>
  <c r="K279" i="26"/>
  <c r="K142" i="26"/>
  <c r="K47" i="26"/>
  <c r="K299" i="26"/>
  <c r="K312" i="26"/>
  <c r="K36" i="26"/>
  <c r="K197" i="26"/>
  <c r="K119" i="26"/>
  <c r="K144" i="26"/>
  <c r="K265" i="26"/>
  <c r="K77" i="26"/>
  <c r="K238" i="26"/>
  <c r="K61" i="26"/>
  <c r="K314" i="26"/>
  <c r="K139" i="26"/>
  <c r="K64" i="26"/>
  <c r="K35" i="26"/>
  <c r="K95" i="26"/>
  <c r="K32" i="26"/>
  <c r="K155" i="26"/>
  <c r="K156" i="26"/>
  <c r="K177" i="26"/>
  <c r="K104" i="26"/>
  <c r="K199" i="26"/>
  <c r="K264" i="26"/>
  <c r="K268" i="26"/>
  <c r="K102" i="26"/>
  <c r="K58" i="26"/>
  <c r="K275" i="26"/>
  <c r="K137" i="26"/>
  <c r="K257" i="26"/>
  <c r="K161" i="26"/>
  <c r="K118" i="26"/>
  <c r="K153" i="26"/>
  <c r="K6" i="26"/>
  <c r="K69" i="26"/>
  <c r="K171" i="26"/>
  <c r="K135" i="26"/>
  <c r="K87" i="26"/>
  <c r="K274" i="26"/>
  <c r="K160" i="26"/>
  <c r="K168" i="26"/>
  <c r="K255" i="26"/>
  <c r="K85" i="26"/>
  <c r="K169" i="26"/>
  <c r="K49" i="26"/>
  <c r="K131" i="26"/>
  <c r="K5" i="26"/>
  <c r="K248" i="26"/>
  <c r="K22" i="26"/>
  <c r="K48" i="26"/>
  <c r="K245" i="26"/>
  <c r="K143" i="26"/>
  <c r="K198" i="26"/>
  <c r="K252" i="26"/>
  <c r="K277" i="26"/>
  <c r="K114" i="26"/>
  <c r="K37" i="26"/>
  <c r="K92" i="26"/>
  <c r="K318" i="26"/>
  <c r="K68" i="26"/>
  <c r="K14" i="26"/>
  <c r="K94" i="26"/>
  <c r="K212" i="26"/>
  <c r="K41" i="26"/>
  <c r="K203" i="26"/>
  <c r="K62" i="26"/>
  <c r="K280" i="26"/>
  <c r="K298" i="26"/>
  <c r="K25" i="26"/>
  <c r="K283" i="26"/>
  <c r="K221" i="26"/>
  <c r="K272" i="26"/>
  <c r="K250" i="26"/>
  <c r="K56" i="26"/>
  <c r="K176" i="26"/>
  <c r="K183" i="26"/>
  <c r="K322" i="26"/>
  <c r="K174" i="26"/>
  <c r="K260" i="26"/>
  <c r="K231" i="26"/>
  <c r="K190" i="26"/>
  <c r="K207" i="26"/>
  <c r="K202" i="26"/>
  <c r="K290" i="26"/>
  <c r="K159" i="26"/>
  <c r="K209" i="26"/>
  <c r="K19" i="26"/>
  <c r="K193" i="26"/>
  <c r="K195" i="26"/>
  <c r="K175" i="26"/>
  <c r="K111" i="26"/>
  <c r="K182" i="26"/>
  <c r="K214" i="26"/>
  <c r="K151" i="26"/>
  <c r="K253" i="26"/>
  <c r="K103" i="26"/>
  <c r="K263" i="26"/>
  <c r="K59" i="26"/>
  <c r="K107" i="26"/>
  <c r="K321" i="26"/>
  <c r="K192" i="26"/>
  <c r="K54" i="26"/>
  <c r="K4" i="26"/>
  <c r="K232" i="26"/>
  <c r="K266" i="26"/>
  <c r="K33" i="26"/>
  <c r="K317" i="26"/>
  <c r="K34" i="26"/>
  <c r="K211" i="26"/>
  <c r="K196" i="26"/>
  <c r="K289" i="26"/>
  <c r="K17" i="26"/>
  <c r="K324" i="26"/>
  <c r="K3" i="26"/>
  <c r="K163" i="26"/>
  <c r="K165" i="26"/>
  <c r="K86" i="26"/>
  <c r="K173" i="26"/>
  <c r="K146" i="26"/>
  <c r="K319" i="26"/>
  <c r="K98" i="26"/>
  <c r="K241" i="26"/>
  <c r="K130" i="26"/>
  <c r="K97" i="26"/>
  <c r="K294" i="26"/>
  <c r="K30" i="26"/>
  <c r="K15" i="26"/>
  <c r="K326" i="26"/>
  <c r="K40" i="26"/>
  <c r="K129" i="26"/>
  <c r="K70" i="26"/>
  <c r="K288" i="26"/>
  <c r="K67" i="26"/>
  <c r="K57" i="26"/>
  <c r="K282" i="26"/>
  <c r="K29" i="26"/>
  <c r="K81" i="26"/>
  <c r="K261" i="26"/>
  <c r="K31" i="26"/>
  <c r="K181" i="26"/>
  <c r="K9" i="26"/>
  <c r="K18" i="26"/>
  <c r="K113" i="26"/>
  <c r="K320" i="26"/>
  <c r="K116" i="26"/>
  <c r="K115" i="26"/>
  <c r="K230" i="26"/>
  <c r="K229" i="26"/>
  <c r="K276" i="26"/>
  <c r="K170" i="26"/>
  <c r="K278" i="26"/>
  <c r="K82" i="26"/>
  <c r="K186" i="26"/>
  <c r="K126" i="26"/>
  <c r="K136" i="26"/>
  <c r="K254" i="26"/>
  <c r="K120" i="26"/>
  <c r="K258" i="26"/>
  <c r="K285" i="26"/>
  <c r="K8" i="26"/>
  <c r="K239" i="26"/>
  <c r="K295" i="26"/>
  <c r="K11" i="26"/>
  <c r="K256" i="26"/>
  <c r="K233" i="26"/>
  <c r="K301" i="26"/>
  <c r="K109" i="26"/>
  <c r="K157" i="26"/>
  <c r="K74" i="26"/>
  <c r="K90" i="26"/>
  <c r="K247" i="26"/>
  <c r="K217" i="26"/>
  <c r="K38" i="26"/>
  <c r="K223" i="26"/>
  <c r="K21" i="26"/>
  <c r="K222" i="26"/>
  <c r="K262" i="26"/>
  <c r="K52" i="26"/>
  <c r="K187" i="26"/>
  <c r="K189" i="26"/>
  <c r="K191" i="26"/>
  <c r="K325" i="26"/>
  <c r="K246" i="26"/>
  <c r="K50" i="26"/>
  <c r="K226" i="26"/>
  <c r="K284" i="26"/>
  <c r="K71" i="26"/>
  <c r="K162" i="26"/>
  <c r="K154" i="26"/>
  <c r="K179" i="26"/>
  <c r="K112" i="26"/>
  <c r="K2" i="26"/>
  <c r="K99" i="26"/>
  <c r="K323" i="26"/>
  <c r="K75" i="26"/>
  <c r="K164" i="26"/>
  <c r="K244" i="26"/>
  <c r="K259" i="26"/>
  <c r="K51" i="26"/>
  <c r="K308" i="26"/>
  <c r="K227" i="26"/>
  <c r="K304" i="26"/>
  <c r="K215" i="26"/>
  <c r="K83" i="26"/>
  <c r="K121" i="26"/>
  <c r="K269" i="26"/>
  <c r="K180" i="26"/>
  <c r="K208" i="26"/>
  <c r="K234" i="26"/>
  <c r="K117" i="26"/>
  <c r="K200" i="26"/>
  <c r="K55" i="26"/>
  <c r="K123" i="26"/>
  <c r="K311" i="26"/>
  <c r="K149" i="26"/>
  <c r="K66" i="26"/>
  <c r="K205" i="26"/>
  <c r="K20" i="26"/>
  <c r="K201" i="26"/>
  <c r="K124" i="26"/>
  <c r="K327" i="26"/>
  <c r="K122" i="26"/>
  <c r="K28" i="26"/>
  <c r="K293" i="26"/>
  <c r="K141" i="26"/>
  <c r="K270" i="26"/>
  <c r="K60" i="26"/>
  <c r="K242" i="26"/>
  <c r="K79" i="26"/>
  <c r="K76" i="26"/>
  <c r="K236" i="26"/>
  <c r="K10" i="26"/>
  <c r="K23" i="26"/>
  <c r="K88" i="26"/>
  <c r="K309" i="26"/>
  <c r="K105" i="26"/>
  <c r="K132" i="26"/>
  <c r="K110" i="26"/>
  <c r="K300" i="26"/>
  <c r="K224" i="26"/>
  <c r="K225" i="26"/>
  <c r="K24" i="26"/>
  <c r="K251" i="26"/>
  <c r="K53" i="26"/>
  <c r="K216" i="26"/>
  <c r="K213" i="26"/>
  <c r="K84" i="26"/>
  <c r="K313" i="26"/>
  <c r="K26" i="26"/>
  <c r="K27" i="26"/>
  <c r="K134" i="26"/>
  <c r="K73" i="26"/>
  <c r="K271" i="26"/>
  <c r="K150" i="26"/>
  <c r="K235" i="26"/>
  <c r="K219" i="26"/>
  <c r="K93" i="26"/>
  <c r="K128" i="26"/>
  <c r="K210" i="26"/>
  <c r="K125" i="26"/>
  <c r="K7" i="26"/>
  <c r="K39" i="26"/>
  <c r="K237" i="26"/>
  <c r="K140" i="26"/>
  <c r="K204" i="26"/>
  <c r="K13" i="26"/>
  <c r="K310" i="26"/>
  <c r="N328" i="26"/>
  <c r="N78" i="26"/>
  <c r="N166" i="26"/>
  <c r="N315" i="26"/>
  <c r="N307" i="26"/>
  <c r="N331" i="26"/>
  <c r="N101" i="26"/>
  <c r="N108" i="26"/>
  <c r="N291" i="26"/>
  <c r="N281" i="26"/>
  <c r="N100" i="26"/>
  <c r="N148" i="26"/>
  <c r="N249" i="26"/>
  <c r="N65" i="26"/>
  <c r="N329" i="26"/>
  <c r="N172" i="26"/>
  <c r="N297" i="26"/>
  <c r="N188" i="26"/>
  <c r="N267" i="26"/>
  <c r="N243" i="26"/>
  <c r="N72" i="26"/>
  <c r="N44" i="26"/>
  <c r="N273" i="26"/>
  <c r="N96" i="26"/>
  <c r="N206" i="26"/>
  <c r="N42" i="26"/>
  <c r="N220" i="26"/>
  <c r="N286" i="26"/>
  <c r="N138" i="26"/>
  <c r="N133" i="26"/>
  <c r="N145" i="26"/>
  <c r="N316" i="26"/>
  <c r="N167" i="26"/>
  <c r="N178" i="26"/>
  <c r="N158" i="26"/>
  <c r="N147" i="26"/>
  <c r="N16" i="26"/>
  <c r="N91" i="26"/>
  <c r="N12" i="26"/>
  <c r="N218" i="26"/>
  <c r="N305" i="26"/>
  <c r="N46" i="26"/>
  <c r="N292" i="26"/>
  <c r="N43" i="26"/>
  <c r="N306" i="26"/>
  <c r="N63" i="26"/>
  <c r="N303" i="26"/>
  <c r="N302" i="26"/>
  <c r="N80" i="26"/>
  <c r="N287" i="26"/>
  <c r="N240" i="26"/>
  <c r="N106" i="26"/>
  <c r="N228" i="26"/>
  <c r="N194" i="26"/>
  <c r="N296" i="26"/>
  <c r="N184" i="26"/>
  <c r="N330" i="26"/>
  <c r="N127" i="26"/>
  <c r="N185" i="26"/>
  <c r="N152" i="26"/>
  <c r="N45" i="26"/>
  <c r="N89" i="26"/>
  <c r="N279" i="26"/>
  <c r="N142" i="26"/>
  <c r="N47" i="26"/>
  <c r="N299" i="26"/>
  <c r="N312" i="26"/>
  <c r="N36" i="26"/>
  <c r="N197" i="26"/>
  <c r="N119" i="26"/>
  <c r="N144" i="26"/>
  <c r="N265" i="26"/>
  <c r="N77" i="26"/>
  <c r="N238" i="26"/>
  <c r="N61" i="26"/>
  <c r="N314" i="26"/>
  <c r="N139" i="26"/>
  <c r="N64" i="26"/>
  <c r="N35" i="26"/>
  <c r="N95" i="26"/>
  <c r="N32" i="26"/>
  <c r="N155" i="26"/>
  <c r="N156" i="26"/>
  <c r="N177" i="26"/>
  <c r="N104" i="26"/>
  <c r="N199" i="26"/>
  <c r="N264" i="26"/>
  <c r="N268" i="26"/>
  <c r="N102" i="26"/>
  <c r="N58" i="26"/>
  <c r="N275" i="26"/>
  <c r="N137" i="26"/>
  <c r="N257" i="26"/>
  <c r="N161" i="26"/>
  <c r="N118" i="26"/>
  <c r="N153" i="26"/>
  <c r="N6" i="26"/>
  <c r="N69" i="26"/>
  <c r="N171" i="26"/>
  <c r="N135" i="26"/>
  <c r="N87" i="26"/>
  <c r="N274" i="26"/>
  <c r="N160" i="26"/>
  <c r="N168" i="26"/>
  <c r="N255" i="26"/>
  <c r="N85" i="26"/>
  <c r="N169" i="26"/>
  <c r="N49" i="26"/>
  <c r="N131" i="26"/>
  <c r="N5" i="26"/>
  <c r="N248" i="26"/>
  <c r="N22" i="26"/>
  <c r="N48" i="26"/>
  <c r="N245" i="26"/>
  <c r="N143" i="26"/>
  <c r="N198" i="26"/>
  <c r="N252" i="26"/>
  <c r="N277" i="26"/>
  <c r="N114" i="26"/>
  <c r="N37" i="26"/>
  <c r="N92" i="26"/>
  <c r="N318" i="26"/>
  <c r="N68" i="26"/>
  <c r="N14" i="26"/>
  <c r="N94" i="26"/>
  <c r="N212" i="26"/>
  <c r="N41" i="26"/>
  <c r="N203" i="26"/>
  <c r="N62" i="26"/>
  <c r="N280" i="26"/>
  <c r="N298" i="26"/>
  <c r="N25" i="26"/>
  <c r="N283" i="26"/>
  <c r="N221" i="26"/>
  <c r="N272" i="26"/>
  <c r="N250" i="26"/>
  <c r="N56" i="26"/>
  <c r="N176" i="26"/>
  <c r="N183" i="26"/>
  <c r="N322" i="26"/>
  <c r="N174" i="26"/>
  <c r="N260" i="26"/>
  <c r="N231" i="26"/>
  <c r="N190" i="26"/>
  <c r="N207" i="26"/>
  <c r="N202" i="26"/>
  <c r="N290" i="26"/>
  <c r="N159" i="26"/>
  <c r="N209" i="26"/>
  <c r="N19" i="26"/>
  <c r="N193" i="26"/>
  <c r="N195" i="26"/>
  <c r="N175" i="26"/>
  <c r="N111" i="26"/>
  <c r="N182" i="26"/>
  <c r="N214" i="26"/>
  <c r="N151" i="26"/>
  <c r="N253" i="26"/>
  <c r="N103" i="26"/>
  <c r="N263" i="26"/>
  <c r="N59" i="26"/>
  <c r="N107" i="26"/>
  <c r="N321" i="26"/>
  <c r="N192" i="26"/>
  <c r="N54" i="26"/>
  <c r="N4" i="26"/>
  <c r="N232" i="26"/>
  <c r="N266" i="26"/>
  <c r="N33" i="26"/>
  <c r="N317" i="26"/>
  <c r="N34" i="26"/>
  <c r="N211" i="26"/>
  <c r="N196" i="26"/>
  <c r="N289" i="26"/>
  <c r="N17" i="26"/>
  <c r="N324" i="26"/>
  <c r="N3" i="26"/>
  <c r="N163" i="26"/>
  <c r="N165" i="26"/>
  <c r="N86" i="26"/>
  <c r="N173" i="26"/>
  <c r="N146" i="26"/>
  <c r="N319" i="26"/>
  <c r="N98" i="26"/>
  <c r="N241" i="26"/>
  <c r="N130" i="26"/>
  <c r="N97" i="26"/>
  <c r="N294" i="26"/>
  <c r="N30" i="26"/>
  <c r="N15" i="26"/>
  <c r="N326" i="26"/>
  <c r="N40" i="26"/>
  <c r="N129" i="26"/>
  <c r="N70" i="26"/>
  <c r="N288" i="26"/>
  <c r="N67" i="26"/>
  <c r="N57" i="26"/>
  <c r="N282" i="26"/>
  <c r="N29" i="26"/>
  <c r="N81" i="26"/>
  <c r="N261" i="26"/>
  <c r="N31" i="26"/>
  <c r="N181" i="26"/>
  <c r="N9" i="26"/>
  <c r="N18" i="26"/>
  <c r="N113" i="26"/>
  <c r="N320" i="26"/>
  <c r="N116" i="26"/>
  <c r="N115" i="26"/>
  <c r="N230" i="26"/>
  <c r="N229" i="26"/>
  <c r="N276" i="26"/>
  <c r="N170" i="26"/>
  <c r="N278" i="26"/>
  <c r="N82" i="26"/>
  <c r="N186" i="26"/>
  <c r="N126" i="26"/>
  <c r="N136" i="26"/>
  <c r="N254" i="26"/>
  <c r="N120" i="26"/>
  <c r="N258" i="26"/>
  <c r="N285" i="26"/>
  <c r="N8" i="26"/>
  <c r="N239" i="26"/>
  <c r="N295" i="26"/>
  <c r="N11" i="26"/>
  <c r="N256" i="26"/>
  <c r="N233" i="26"/>
  <c r="N301" i="26"/>
  <c r="N109" i="26"/>
  <c r="N157" i="26"/>
  <c r="N74" i="26"/>
  <c r="N90" i="26"/>
  <c r="N247" i="26"/>
  <c r="N217" i="26"/>
  <c r="N38" i="26"/>
  <c r="N223" i="26"/>
  <c r="N21" i="26"/>
  <c r="N222" i="26"/>
  <c r="N262" i="26"/>
  <c r="N52" i="26"/>
  <c r="N187" i="26"/>
  <c r="N189" i="26"/>
  <c r="N191" i="26"/>
  <c r="N325" i="26"/>
  <c r="N246" i="26"/>
  <c r="N50" i="26"/>
  <c r="N226" i="26"/>
  <c r="N284" i="26"/>
  <c r="N71" i="26"/>
  <c r="N162" i="26"/>
  <c r="N154" i="26"/>
  <c r="N179" i="26"/>
  <c r="N112" i="26"/>
  <c r="N2" i="26"/>
  <c r="N99" i="26"/>
  <c r="N323" i="26"/>
  <c r="N75" i="26"/>
  <c r="N164" i="26"/>
  <c r="N244" i="26"/>
  <c r="N259" i="26"/>
  <c r="N51" i="26"/>
  <c r="N308" i="26"/>
  <c r="N227" i="26"/>
  <c r="N304" i="26"/>
  <c r="N215" i="26"/>
  <c r="N83" i="26"/>
  <c r="N121" i="26"/>
  <c r="N269" i="26"/>
  <c r="N180" i="26"/>
  <c r="N208" i="26"/>
  <c r="N234" i="26"/>
  <c r="N117" i="26"/>
  <c r="N200" i="26"/>
  <c r="N55" i="26"/>
  <c r="N123" i="26"/>
  <c r="N311" i="26"/>
  <c r="N149" i="26"/>
  <c r="N66" i="26"/>
  <c r="N205" i="26"/>
  <c r="N20" i="26"/>
  <c r="N201" i="26"/>
  <c r="N124" i="26"/>
  <c r="N327" i="26"/>
  <c r="N122" i="26"/>
  <c r="N28" i="26"/>
  <c r="N293" i="26"/>
  <c r="N141" i="26"/>
  <c r="N270" i="26"/>
  <c r="N60" i="26"/>
  <c r="N242" i="26"/>
  <c r="N79" i="26"/>
  <c r="N76" i="26"/>
  <c r="N236" i="26"/>
  <c r="N10" i="26"/>
  <c r="N23" i="26"/>
  <c r="N88" i="26"/>
  <c r="N309" i="26"/>
  <c r="N105" i="26"/>
  <c r="N132" i="26"/>
  <c r="N110" i="26"/>
  <c r="N300" i="26"/>
  <c r="N224" i="26"/>
  <c r="N225" i="26"/>
  <c r="N24" i="26"/>
  <c r="N251" i="26"/>
  <c r="N53" i="26"/>
  <c r="N216" i="26"/>
  <c r="N213" i="26"/>
  <c r="N84" i="26"/>
  <c r="N313" i="26"/>
  <c r="N26" i="26"/>
  <c r="N27" i="26"/>
  <c r="N134" i="26"/>
  <c r="N73" i="26"/>
  <c r="N271" i="26"/>
  <c r="N150" i="26"/>
  <c r="N235" i="26"/>
  <c r="N219" i="26"/>
  <c r="N93" i="26"/>
  <c r="N128" i="26"/>
  <c r="N210" i="26"/>
  <c r="N125" i="26"/>
  <c r="N7" i="26"/>
  <c r="N39" i="26"/>
  <c r="N237" i="26"/>
  <c r="N140" i="26"/>
  <c r="N204" i="26"/>
  <c r="N13" i="26"/>
  <c r="N310" i="26"/>
  <c r="K1" i="26" l="1"/>
  <c r="S82" i="27" l="1"/>
  <c r="AB248" i="50"/>
  <c r="AB213" i="50"/>
  <c r="AB119" i="50"/>
  <c r="AC7" i="50"/>
  <c r="AA7" i="50"/>
  <c r="X248" i="50"/>
  <c r="X213" i="50"/>
  <c r="X119" i="50"/>
  <c r="Y7" i="50" l="1"/>
  <c r="AQ334" i="50"/>
  <c r="AQ84" i="50"/>
  <c r="AQ172" i="50"/>
  <c r="AQ321" i="50"/>
  <c r="AQ313" i="50"/>
  <c r="AQ337" i="50"/>
  <c r="AQ107" i="50"/>
  <c r="AQ114" i="50"/>
  <c r="AQ297" i="50"/>
  <c r="AQ287" i="50"/>
  <c r="AQ106" i="50"/>
  <c r="AQ154" i="50"/>
  <c r="AQ255" i="50"/>
  <c r="AQ71" i="50"/>
  <c r="AQ335" i="50"/>
  <c r="AQ178" i="50"/>
  <c r="AQ303" i="50"/>
  <c r="AQ194" i="50"/>
  <c r="AQ273" i="50"/>
  <c r="AQ249" i="50"/>
  <c r="AQ78" i="50"/>
  <c r="AQ50" i="50"/>
  <c r="AQ279" i="50"/>
  <c r="AQ102" i="50"/>
  <c r="AQ212" i="50"/>
  <c r="AQ48" i="50"/>
  <c r="AQ226" i="50"/>
  <c r="AQ292" i="50"/>
  <c r="AQ144" i="50"/>
  <c r="AQ139" i="50"/>
  <c r="AQ151" i="50"/>
  <c r="AQ322" i="50"/>
  <c r="AQ173" i="50"/>
  <c r="AQ184" i="50"/>
  <c r="AQ164" i="50"/>
  <c r="AQ153" i="50"/>
  <c r="AQ22" i="50"/>
  <c r="AQ97" i="50"/>
  <c r="AQ18" i="50"/>
  <c r="AQ224" i="50"/>
  <c r="AQ311" i="50"/>
  <c r="AQ52" i="50"/>
  <c r="AQ298" i="50"/>
  <c r="AQ49" i="50"/>
  <c r="AQ312" i="50"/>
  <c r="AQ69" i="50"/>
  <c r="AQ309" i="50"/>
  <c r="AQ308" i="50"/>
  <c r="AQ86" i="50"/>
  <c r="AQ293" i="50"/>
  <c r="AQ246" i="50"/>
  <c r="AQ112" i="50"/>
  <c r="AQ234" i="50"/>
  <c r="AQ200" i="50"/>
  <c r="AQ302" i="50"/>
  <c r="AQ190" i="50"/>
  <c r="AQ336" i="50"/>
  <c r="AQ133" i="50"/>
  <c r="AQ191" i="50"/>
  <c r="AQ158" i="50"/>
  <c r="AQ51" i="50"/>
  <c r="AQ95" i="50"/>
  <c r="AQ285" i="50"/>
  <c r="AQ148" i="50"/>
  <c r="AQ53" i="50"/>
  <c r="AQ305" i="50"/>
  <c r="AQ318" i="50"/>
  <c r="AQ42" i="50"/>
  <c r="AQ203" i="50"/>
  <c r="AQ125" i="50"/>
  <c r="AQ150" i="50"/>
  <c r="AQ271" i="50"/>
  <c r="AQ83" i="50"/>
  <c r="AQ244" i="50"/>
  <c r="AQ67" i="50"/>
  <c r="AQ320" i="50"/>
  <c r="AQ145" i="50"/>
  <c r="AQ70" i="50"/>
  <c r="AQ41" i="50"/>
  <c r="AQ101" i="50"/>
  <c r="AQ38" i="50"/>
  <c r="AQ161" i="50"/>
  <c r="AQ162" i="50"/>
  <c r="AQ183" i="50"/>
  <c r="AQ110" i="50"/>
  <c r="AQ205" i="50"/>
  <c r="AQ270" i="50"/>
  <c r="AQ274" i="50"/>
  <c r="AQ108" i="50"/>
  <c r="AQ64" i="50"/>
  <c r="AQ281" i="50"/>
  <c r="AQ143" i="50"/>
  <c r="AQ263" i="50"/>
  <c r="AQ167" i="50"/>
  <c r="AQ124" i="50"/>
  <c r="AQ159" i="50"/>
  <c r="AQ12" i="50"/>
  <c r="AQ75" i="50"/>
  <c r="AQ177" i="50"/>
  <c r="AQ141" i="50"/>
  <c r="AQ93" i="50"/>
  <c r="AQ280" i="50"/>
  <c r="AQ166" i="50"/>
  <c r="AQ174" i="50"/>
  <c r="AQ261" i="50"/>
  <c r="AQ91" i="50"/>
  <c r="AQ175" i="50"/>
  <c r="AQ55" i="50"/>
  <c r="AQ137" i="50"/>
  <c r="AQ11" i="50"/>
  <c r="AQ254" i="50"/>
  <c r="AQ28" i="50"/>
  <c r="AQ54" i="50"/>
  <c r="AQ251" i="50"/>
  <c r="AQ149" i="50"/>
  <c r="AQ204" i="50"/>
  <c r="AQ258" i="50"/>
  <c r="AQ283" i="50"/>
  <c r="AQ122" i="50"/>
  <c r="AQ43" i="50"/>
  <c r="AQ98" i="50"/>
  <c r="AQ324" i="50"/>
  <c r="AQ74" i="50"/>
  <c r="AQ20" i="50"/>
  <c r="AQ100" i="50"/>
  <c r="AQ218" i="50"/>
  <c r="AQ47" i="50"/>
  <c r="AQ209" i="50"/>
  <c r="AQ68" i="50"/>
  <c r="AQ286" i="50"/>
  <c r="AQ304" i="50"/>
  <c r="AQ31" i="50"/>
  <c r="AQ289" i="50"/>
  <c r="AQ227" i="50"/>
  <c r="AQ278" i="50"/>
  <c r="AQ256" i="50"/>
  <c r="AQ62" i="50"/>
  <c r="AQ182" i="50"/>
  <c r="AQ189" i="50"/>
  <c r="AQ328" i="50"/>
  <c r="AQ180" i="50"/>
  <c r="AQ266" i="50"/>
  <c r="AQ237" i="50"/>
  <c r="AQ196" i="50"/>
  <c r="AQ213" i="50"/>
  <c r="AQ208" i="50"/>
  <c r="AQ296" i="50"/>
  <c r="AQ165" i="50"/>
  <c r="AQ215" i="50"/>
  <c r="AQ25" i="50"/>
  <c r="AQ199" i="50"/>
  <c r="AQ201" i="50"/>
  <c r="AQ181" i="50"/>
  <c r="AQ117" i="50"/>
  <c r="AQ188" i="50"/>
  <c r="AQ220" i="50"/>
  <c r="AQ157" i="50"/>
  <c r="AQ259" i="50"/>
  <c r="AQ109" i="50"/>
  <c r="AQ269" i="50"/>
  <c r="AQ65" i="50"/>
  <c r="AQ113" i="50"/>
  <c r="AQ327" i="50"/>
  <c r="AQ198" i="50"/>
  <c r="AQ60" i="50"/>
  <c r="AQ10" i="50"/>
  <c r="AQ238" i="50"/>
  <c r="AQ272" i="50"/>
  <c r="AQ39" i="50"/>
  <c r="AQ323" i="50"/>
  <c r="AQ40" i="50"/>
  <c r="AQ217" i="50"/>
  <c r="AQ202" i="50"/>
  <c r="AQ295" i="50"/>
  <c r="AQ23" i="50"/>
  <c r="AQ330" i="50"/>
  <c r="AQ9" i="50"/>
  <c r="AQ169" i="50"/>
  <c r="AQ171" i="50"/>
  <c r="AQ92" i="50"/>
  <c r="AQ179" i="50"/>
  <c r="AQ152" i="50"/>
  <c r="AQ325" i="50"/>
  <c r="AQ104" i="50"/>
  <c r="AQ247" i="50"/>
  <c r="AQ136" i="50"/>
  <c r="AQ103" i="50"/>
  <c r="AQ300" i="50"/>
  <c r="AQ36" i="50"/>
  <c r="AQ21" i="50"/>
  <c r="AQ332" i="50"/>
  <c r="AQ46" i="50"/>
  <c r="AQ135" i="50"/>
  <c r="AQ76" i="50"/>
  <c r="AQ294" i="50"/>
  <c r="AQ73" i="50"/>
  <c r="AQ63" i="50"/>
  <c r="AQ288" i="50"/>
  <c r="AQ35" i="50"/>
  <c r="AQ87" i="50"/>
  <c r="AQ267" i="50"/>
  <c r="AQ37" i="50"/>
  <c r="AQ187" i="50"/>
  <c r="AQ15" i="50"/>
  <c r="AQ24" i="50"/>
  <c r="AQ119" i="50"/>
  <c r="AQ326" i="50"/>
  <c r="AQ121" i="50"/>
  <c r="AQ120" i="50"/>
  <c r="AQ236" i="50"/>
  <c r="AQ235" i="50"/>
  <c r="AQ282" i="50"/>
  <c r="AQ176" i="50"/>
  <c r="AQ284" i="50"/>
  <c r="AQ88" i="50"/>
  <c r="AQ192" i="50"/>
  <c r="AQ132" i="50"/>
  <c r="AQ142" i="50"/>
  <c r="AQ260" i="50"/>
  <c r="AQ126" i="50"/>
  <c r="AQ264" i="50"/>
  <c r="AQ291" i="50"/>
  <c r="AQ14" i="50"/>
  <c r="AQ245" i="50"/>
  <c r="AQ301" i="50"/>
  <c r="AQ17" i="50"/>
  <c r="AQ262" i="50"/>
  <c r="AQ239" i="50"/>
  <c r="AQ307" i="50"/>
  <c r="AQ115" i="50"/>
  <c r="AQ163" i="50"/>
  <c r="AQ80" i="50"/>
  <c r="AQ96" i="50"/>
  <c r="AQ253" i="50"/>
  <c r="AQ223" i="50"/>
  <c r="AQ44" i="50"/>
  <c r="AQ229" i="50"/>
  <c r="AQ27" i="50"/>
  <c r="AQ228" i="50"/>
  <c r="AQ268" i="50"/>
  <c r="AQ58" i="50"/>
  <c r="AQ193" i="50"/>
  <c r="AQ195" i="50"/>
  <c r="AQ197" i="50"/>
  <c r="AQ331" i="50"/>
  <c r="AQ252" i="50"/>
  <c r="AQ56" i="50"/>
  <c r="AQ232" i="50"/>
  <c r="AQ290" i="50"/>
  <c r="AQ77" i="50"/>
  <c r="AQ168" i="50"/>
  <c r="AQ160" i="50"/>
  <c r="AQ185" i="50"/>
  <c r="AQ118" i="50"/>
  <c r="AQ8" i="50"/>
  <c r="AQ105" i="50"/>
  <c r="AQ329" i="50"/>
  <c r="AQ81" i="50"/>
  <c r="AQ170" i="50"/>
  <c r="AQ250" i="50"/>
  <c r="AQ265" i="50"/>
  <c r="AQ57" i="50"/>
  <c r="AQ314" i="50"/>
  <c r="AQ233" i="50"/>
  <c r="AQ310" i="50"/>
  <c r="AQ221" i="50"/>
  <c r="AQ89" i="50"/>
  <c r="AQ127" i="50"/>
  <c r="AQ275" i="50"/>
  <c r="AQ186" i="50"/>
  <c r="AQ214" i="50"/>
  <c r="AQ240" i="50"/>
  <c r="AQ123" i="50"/>
  <c r="AQ206" i="50"/>
  <c r="AQ61" i="50"/>
  <c r="AQ129" i="50"/>
  <c r="AQ317" i="50"/>
  <c r="AQ155" i="50"/>
  <c r="AQ72" i="50"/>
  <c r="AQ211" i="50"/>
  <c r="AQ26" i="50"/>
  <c r="AQ207" i="50"/>
  <c r="AQ130" i="50"/>
  <c r="AQ333" i="50"/>
  <c r="AQ128" i="50"/>
  <c r="AQ34" i="50"/>
  <c r="AQ299" i="50"/>
  <c r="AQ147" i="50"/>
  <c r="AQ276" i="50"/>
  <c r="AQ66" i="50"/>
  <c r="AQ248" i="50"/>
  <c r="AQ85" i="50"/>
  <c r="AQ82" i="50"/>
  <c r="AQ242" i="50"/>
  <c r="AQ16" i="50"/>
  <c r="AQ29" i="50"/>
  <c r="AQ94" i="50"/>
  <c r="AQ315" i="50"/>
  <c r="AQ111" i="50"/>
  <c r="AQ138" i="50"/>
  <c r="AQ116" i="50"/>
  <c r="AQ306" i="50"/>
  <c r="AQ230" i="50"/>
  <c r="AQ231" i="50"/>
  <c r="AQ30" i="50"/>
  <c r="AQ257" i="50"/>
  <c r="AQ59" i="50"/>
  <c r="AQ222" i="50"/>
  <c r="AQ219" i="50"/>
  <c r="AQ90" i="50"/>
  <c r="AQ319" i="50"/>
  <c r="AQ32" i="50"/>
  <c r="AQ33" i="50"/>
  <c r="AQ140" i="50"/>
  <c r="AQ79" i="50"/>
  <c r="AQ277" i="50"/>
  <c r="AQ156" i="50"/>
  <c r="AQ241" i="50"/>
  <c r="AQ225" i="50"/>
  <c r="AQ99" i="50"/>
  <c r="AQ134" i="50"/>
  <c r="AQ216" i="50"/>
  <c r="AQ131" i="50"/>
  <c r="AQ13" i="50"/>
  <c r="AQ45" i="50"/>
  <c r="AQ243" i="50"/>
  <c r="AQ146" i="50"/>
  <c r="AQ210" i="50"/>
  <c r="AQ19" i="50"/>
  <c r="AQ316" i="50"/>
  <c r="AP240" i="32" l="1"/>
  <c r="AP219" i="32"/>
  <c r="AP200" i="32"/>
  <c r="AP130" i="32"/>
  <c r="I247" i="32" l="1"/>
  <c r="I212" i="32"/>
  <c r="I118" i="32"/>
  <c r="AP277" i="32"/>
  <c r="AP16" i="32"/>
  <c r="K115" i="32"/>
  <c r="K114" i="32"/>
  <c r="K113" i="32"/>
  <c r="K112" i="32"/>
  <c r="K111" i="32"/>
  <c r="K110" i="32"/>
  <c r="K109" i="32"/>
  <c r="K108" i="32"/>
  <c r="K107" i="32"/>
  <c r="K106" i="32"/>
  <c r="K105" i="32"/>
  <c r="K104" i="32"/>
  <c r="K103" i="32"/>
  <c r="K102" i="32"/>
  <c r="K101" i="32"/>
  <c r="K100" i="32"/>
  <c r="K99" i="32"/>
  <c r="K98" i="32"/>
  <c r="K97" i="32"/>
  <c r="K96" i="32"/>
  <c r="K95" i="32"/>
  <c r="K94" i="32"/>
  <c r="K93" i="32"/>
  <c r="K92" i="32"/>
  <c r="K91" i="32"/>
  <c r="K90" i="32"/>
  <c r="K89" i="32"/>
  <c r="K88" i="32"/>
  <c r="K87" i="32"/>
  <c r="K86" i="32"/>
  <c r="K85" i="32"/>
  <c r="K84" i="32"/>
  <c r="K83" i="32"/>
  <c r="K82" i="32"/>
  <c r="K81" i="32"/>
  <c r="K80" i="32"/>
  <c r="K79" i="32"/>
  <c r="K78" i="32"/>
  <c r="K77" i="32"/>
  <c r="K76" i="32"/>
  <c r="K75" i="32"/>
  <c r="K74" i="32"/>
  <c r="K73" i="32"/>
  <c r="K72" i="32"/>
  <c r="K71" i="32"/>
  <c r="K69" i="32"/>
  <c r="K70" i="32"/>
  <c r="AP262" i="32"/>
  <c r="AP253" i="32"/>
  <c r="AP221" i="32"/>
  <c r="AR221" i="32" s="1"/>
  <c r="BE113" i="32" l="1"/>
  <c r="BE112" i="32"/>
  <c r="BE111" i="32"/>
  <c r="BE110" i="32"/>
  <c r="BE109" i="32"/>
  <c r="BE108" i="32"/>
  <c r="BE107" i="32"/>
  <c r="BE106" i="32"/>
  <c r="BE105" i="32"/>
  <c r="BE104" i="32"/>
  <c r="BE103" i="32"/>
  <c r="BE102" i="32"/>
  <c r="BE101" i="32"/>
  <c r="BE100" i="32"/>
  <c r="BE99" i="32"/>
  <c r="BE98" i="32"/>
  <c r="BE97" i="32"/>
  <c r="BE96" i="32"/>
  <c r="BE95" i="32"/>
  <c r="BE94" i="32"/>
  <c r="BE93" i="32"/>
  <c r="BE92" i="32"/>
  <c r="BE91" i="32"/>
  <c r="BE90" i="32"/>
  <c r="BE89" i="32"/>
  <c r="BE88" i="32"/>
  <c r="BE87" i="32"/>
  <c r="BE86" i="32"/>
  <c r="BE85" i="32"/>
  <c r="BE84" i="32"/>
  <c r="BE83" i="32"/>
  <c r="BE82" i="32"/>
  <c r="BE81" i="32"/>
  <c r="BE80" i="32"/>
  <c r="BE79" i="32"/>
  <c r="BE78" i="32"/>
  <c r="BE77" i="32"/>
  <c r="BE76" i="32"/>
  <c r="BE75" i="32"/>
  <c r="BE74" i="32"/>
  <c r="BE73" i="32"/>
  <c r="BE72" i="32"/>
  <c r="BE71" i="32"/>
  <c r="BE69" i="32"/>
  <c r="BE70" i="32"/>
  <c r="BE68" i="32"/>
  <c r="BE67" i="32"/>
  <c r="BE66" i="32"/>
  <c r="BE65" i="32"/>
  <c r="BE64" i="32"/>
  <c r="BE63" i="32"/>
  <c r="BE62" i="32"/>
  <c r="BE61" i="32"/>
  <c r="BE60" i="32"/>
  <c r="BE59" i="32"/>
  <c r="BE58" i="32"/>
  <c r="BE57" i="32"/>
  <c r="BE56" i="32"/>
  <c r="BE55" i="32"/>
  <c r="BE54" i="32"/>
  <c r="BE53" i="32"/>
  <c r="BE52" i="32"/>
  <c r="BE51" i="32"/>
  <c r="BE50" i="32"/>
  <c r="BE49" i="32"/>
  <c r="BE48" i="32"/>
  <c r="BE47" i="32"/>
  <c r="BE46" i="32"/>
  <c r="BE45" i="32"/>
  <c r="BE44" i="32"/>
  <c r="BE43" i="32"/>
  <c r="BE42" i="32"/>
  <c r="BE41" i="32"/>
  <c r="BE40" i="32"/>
  <c r="BE39" i="32"/>
  <c r="BE38" i="32"/>
  <c r="BE37" i="32"/>
  <c r="BE36" i="32"/>
  <c r="BE35" i="32"/>
  <c r="BE34" i="32"/>
  <c r="BE33" i="32"/>
  <c r="BE32" i="32"/>
  <c r="BE31" i="32"/>
  <c r="BE30" i="32"/>
  <c r="BE29" i="32"/>
  <c r="BE28" i="32"/>
  <c r="BE27" i="32"/>
  <c r="BE26" i="32"/>
  <c r="BE25" i="32"/>
  <c r="BE24" i="32"/>
  <c r="BE23" i="32"/>
  <c r="BE22" i="32"/>
  <c r="BE21" i="32"/>
  <c r="BE20" i="32"/>
  <c r="BE19" i="32"/>
  <c r="BE18" i="32"/>
  <c r="BE17" i="32"/>
  <c r="BE16" i="32"/>
  <c r="BE15" i="32"/>
  <c r="BE14" i="32"/>
  <c r="BE13" i="32"/>
  <c r="BE12" i="32"/>
  <c r="BE11" i="32"/>
  <c r="BE10" i="32"/>
  <c r="BE9" i="32"/>
  <c r="BE8" i="32"/>
  <c r="BE7" i="32"/>
  <c r="AC336" i="32"/>
  <c r="AC335" i="32"/>
  <c r="AC334" i="32"/>
  <c r="AC333" i="32"/>
  <c r="AC332" i="32"/>
  <c r="AC331" i="32"/>
  <c r="AC330" i="32"/>
  <c r="AC329" i="32"/>
  <c r="AC328" i="32"/>
  <c r="AC327" i="32"/>
  <c r="AC326" i="32"/>
  <c r="AC325" i="32"/>
  <c r="AC324" i="32"/>
  <c r="AC323" i="32"/>
  <c r="AC322" i="32"/>
  <c r="AC321" i="32"/>
  <c r="AC320" i="32"/>
  <c r="AC319" i="32"/>
  <c r="AC318" i="32"/>
  <c r="AC317" i="32"/>
  <c r="AC316" i="32"/>
  <c r="AC315" i="32"/>
  <c r="AC314" i="32"/>
  <c r="AC313" i="32"/>
  <c r="AC312" i="32"/>
  <c r="AC311" i="32"/>
  <c r="AC310" i="32"/>
  <c r="AC309" i="32"/>
  <c r="AC308" i="32"/>
  <c r="AC307" i="32"/>
  <c r="AC306" i="32"/>
  <c r="AC305" i="32"/>
  <c r="AC304" i="32"/>
  <c r="AC303" i="32"/>
  <c r="AC302" i="32"/>
  <c r="AC301" i="32"/>
  <c r="AC300" i="32"/>
  <c r="AC299" i="32"/>
  <c r="AC298" i="32"/>
  <c r="AC297" i="32"/>
  <c r="AC296" i="32"/>
  <c r="AC295" i="32"/>
  <c r="AC294" i="32"/>
  <c r="AC293" i="32"/>
  <c r="AC292" i="32"/>
  <c r="AC291" i="32"/>
  <c r="AC290" i="32"/>
  <c r="AC289" i="32"/>
  <c r="AC288" i="32"/>
  <c r="AC287" i="32"/>
  <c r="AC286" i="32"/>
  <c r="AC285" i="32"/>
  <c r="AC281" i="32"/>
  <c r="AC283" i="32"/>
  <c r="AC282" i="32"/>
  <c r="AC284" i="32"/>
  <c r="AC280" i="32"/>
  <c r="AC279" i="32"/>
  <c r="AC278" i="32"/>
  <c r="AC277" i="32"/>
  <c r="AC276" i="32"/>
  <c r="AC275" i="32"/>
  <c r="AC274" i="32"/>
  <c r="AC273" i="32"/>
  <c r="AC272" i="32"/>
  <c r="AC271" i="32"/>
  <c r="AC270" i="32"/>
  <c r="AC269" i="32"/>
  <c r="AC268" i="32"/>
  <c r="AC267" i="32"/>
  <c r="AC266" i="32"/>
  <c r="AC265" i="32"/>
  <c r="AC264" i="32"/>
  <c r="AC263" i="32"/>
  <c r="AC262" i="32"/>
  <c r="AC261" i="32"/>
  <c r="AC260" i="32"/>
  <c r="AC259" i="32"/>
  <c r="AC258" i="32"/>
  <c r="AC257" i="32"/>
  <c r="AC256" i="32"/>
  <c r="AC255" i="32"/>
  <c r="AC254" i="32"/>
  <c r="AC253" i="32"/>
  <c r="AC252" i="32"/>
  <c r="AC251" i="32"/>
  <c r="AC250" i="32"/>
  <c r="AC249" i="32"/>
  <c r="AC248" i="32"/>
  <c r="AC246" i="32"/>
  <c r="AC245" i="32"/>
  <c r="AC244" i="32"/>
  <c r="AC243" i="32"/>
  <c r="AC242" i="32"/>
  <c r="AC241" i="32"/>
  <c r="AC240" i="32"/>
  <c r="AC239" i="32"/>
  <c r="AC238" i="32"/>
  <c r="AC237" i="32"/>
  <c r="AC236" i="32"/>
  <c r="AC235" i="32"/>
  <c r="AC234" i="32"/>
  <c r="AC233" i="32"/>
  <c r="AC232" i="32"/>
  <c r="AC231" i="32"/>
  <c r="AC230" i="32"/>
  <c r="AC229" i="32"/>
  <c r="AC228" i="32"/>
  <c r="AC227" i="32"/>
  <c r="AC226" i="32"/>
  <c r="AC225" i="32"/>
  <c r="AC224" i="32"/>
  <c r="AC124" i="32"/>
  <c r="AC223" i="32"/>
  <c r="AC222" i="32"/>
  <c r="AC221" i="32"/>
  <c r="AC220" i="32"/>
  <c r="AC219" i="32"/>
  <c r="AC218" i="32"/>
  <c r="AC217" i="32"/>
  <c r="AC216" i="32"/>
  <c r="AC215" i="32"/>
  <c r="AC214" i="32"/>
  <c r="AC213" i="32"/>
  <c r="AC211" i="32"/>
  <c r="AC210" i="32"/>
  <c r="AC209" i="32"/>
  <c r="AC208" i="32"/>
  <c r="AC207" i="32"/>
  <c r="AC206" i="32"/>
  <c r="AC205" i="32"/>
  <c r="AC204" i="32"/>
  <c r="AC203" i="32"/>
  <c r="AC202" i="32"/>
  <c r="AC201" i="32"/>
  <c r="AC200" i="32"/>
  <c r="AC199" i="32"/>
  <c r="AC198" i="32"/>
  <c r="AC197" i="32"/>
  <c r="AC196" i="32"/>
  <c r="AC195" i="32"/>
  <c r="AC194" i="32"/>
  <c r="AC193" i="32"/>
  <c r="AC192" i="32"/>
  <c r="AC191" i="32"/>
  <c r="AC190" i="32"/>
  <c r="AC189" i="32"/>
  <c r="AC188" i="32"/>
  <c r="AC187" i="32"/>
  <c r="AC186" i="32"/>
  <c r="AC185" i="32"/>
  <c r="AC184" i="32"/>
  <c r="AC183" i="32"/>
  <c r="AC182" i="32"/>
  <c r="AC181" i="32"/>
  <c r="AC180" i="32"/>
  <c r="AC179" i="32"/>
  <c r="AC178" i="32"/>
  <c r="AC177" i="32"/>
  <c r="AC176" i="32"/>
  <c r="AC175" i="32"/>
  <c r="AC174" i="32"/>
  <c r="AC173" i="32"/>
  <c r="AC172" i="32"/>
  <c r="AC171" i="32"/>
  <c r="AC170" i="32"/>
  <c r="AC169" i="32"/>
  <c r="AC168" i="32"/>
  <c r="AC167" i="32"/>
  <c r="AC166" i="32"/>
  <c r="AC165" i="32"/>
  <c r="AC164" i="32"/>
  <c r="AC163" i="32"/>
  <c r="AC162" i="32"/>
  <c r="AC161" i="32"/>
  <c r="AC160" i="32"/>
  <c r="AC159" i="32"/>
  <c r="AC158" i="32"/>
  <c r="AC157" i="32"/>
  <c r="AC156" i="32"/>
  <c r="AC155" i="32"/>
  <c r="AC154" i="32"/>
  <c r="AC153" i="32"/>
  <c r="AC152" i="32"/>
  <c r="AC151" i="32"/>
  <c r="AC150" i="32"/>
  <c r="AC149" i="32"/>
  <c r="AC148" i="32"/>
  <c r="AC147" i="32"/>
  <c r="AC146" i="32"/>
  <c r="AC145" i="32"/>
  <c r="AC144" i="32"/>
  <c r="AC143" i="32"/>
  <c r="AC142" i="32"/>
  <c r="AC141" i="32"/>
  <c r="AC140" i="32"/>
  <c r="AC139" i="32"/>
  <c r="AC138" i="32"/>
  <c r="AC137" i="32"/>
  <c r="AC136" i="32"/>
  <c r="AC135" i="32"/>
  <c r="AC134" i="32"/>
  <c r="AC133" i="32"/>
  <c r="AC132" i="32"/>
  <c r="AC131" i="32"/>
  <c r="AC130" i="32"/>
  <c r="AC129" i="32"/>
  <c r="AC128" i="32"/>
  <c r="AC127" i="32"/>
  <c r="AC126" i="32"/>
  <c r="AC125" i="32"/>
  <c r="AC123" i="32"/>
  <c r="AC122" i="32"/>
  <c r="AC121" i="32"/>
  <c r="AC120" i="32"/>
  <c r="AC119" i="32"/>
  <c r="AC117" i="32"/>
  <c r="AC116" i="32"/>
  <c r="AC115" i="32"/>
  <c r="AC114" i="32"/>
  <c r="AC113" i="32"/>
  <c r="AC112" i="32"/>
  <c r="AC111" i="32"/>
  <c r="AC110" i="32"/>
  <c r="AC109" i="32"/>
  <c r="AC108" i="32"/>
  <c r="AC107" i="32"/>
  <c r="AC106" i="32"/>
  <c r="AC105" i="32"/>
  <c r="AC104" i="32"/>
  <c r="AC103" i="32"/>
  <c r="AC102" i="32"/>
  <c r="AC101" i="32"/>
  <c r="AC100" i="32"/>
  <c r="AC99" i="32"/>
  <c r="AC98" i="32"/>
  <c r="AC97" i="32"/>
  <c r="AC96" i="32"/>
  <c r="AC95" i="32"/>
  <c r="AC94" i="32"/>
  <c r="AC93" i="32"/>
  <c r="AC92" i="32"/>
  <c r="AC91" i="32"/>
  <c r="AC90" i="32"/>
  <c r="AC89" i="32"/>
  <c r="AC88" i="32"/>
  <c r="AC87" i="32"/>
  <c r="AC86" i="32"/>
  <c r="AC85" i="32"/>
  <c r="AC84" i="32"/>
  <c r="AC83" i="32"/>
  <c r="AC82" i="32"/>
  <c r="AC81" i="32"/>
  <c r="AC80" i="32"/>
  <c r="AC79" i="32"/>
  <c r="AC78" i="32"/>
  <c r="AC77" i="32"/>
  <c r="AC76" i="32"/>
  <c r="AC75" i="32"/>
  <c r="AC74" i="32"/>
  <c r="AC73" i="32"/>
  <c r="AC72" i="32"/>
  <c r="AC71" i="32"/>
  <c r="AC70" i="32"/>
  <c r="AC69" i="32"/>
  <c r="AC68" i="32"/>
  <c r="AC67" i="32"/>
  <c r="AC66" i="32"/>
  <c r="AC65" i="32"/>
  <c r="AC64" i="32"/>
  <c r="AC63" i="32"/>
  <c r="AC62" i="32"/>
  <c r="AC61" i="32"/>
  <c r="AC60" i="32"/>
  <c r="AC59" i="32"/>
  <c r="AC58" i="32"/>
  <c r="AC57" i="32"/>
  <c r="AC56" i="32"/>
  <c r="AC55" i="32"/>
  <c r="AC54" i="32"/>
  <c r="AC53" i="32"/>
  <c r="AC52" i="32"/>
  <c r="AC51" i="32"/>
  <c r="AC50" i="32"/>
  <c r="AC49" i="32"/>
  <c r="AC48" i="32"/>
  <c r="AC47" i="32"/>
  <c r="AC46" i="32"/>
  <c r="AC45" i="32"/>
  <c r="AC44" i="32"/>
  <c r="AC43" i="32"/>
  <c r="AC42" i="32"/>
  <c r="AC41" i="32"/>
  <c r="AC40" i="32"/>
  <c r="AC39" i="32"/>
  <c r="AC38" i="32"/>
  <c r="AC37" i="32"/>
  <c r="AC36" i="32"/>
  <c r="AC35" i="32"/>
  <c r="AC34" i="32"/>
  <c r="AC33" i="32"/>
  <c r="AC32" i="32"/>
  <c r="AC31" i="32"/>
  <c r="AC30" i="32"/>
  <c r="AC29" i="32"/>
  <c r="AC28" i="32"/>
  <c r="AC27" i="32"/>
  <c r="AC26" i="32"/>
  <c r="AC25" i="32"/>
  <c r="AC24" i="32"/>
  <c r="AC23" i="32"/>
  <c r="AC22" i="32"/>
  <c r="AC21" i="32"/>
  <c r="AC20" i="32"/>
  <c r="AC19" i="32"/>
  <c r="AC18" i="32"/>
  <c r="AC17" i="32"/>
  <c r="AC16" i="32"/>
  <c r="AC15" i="32"/>
  <c r="AC14" i="32"/>
  <c r="AC13" i="32"/>
  <c r="AC12" i="32"/>
  <c r="AC11" i="32"/>
  <c r="AC10" i="32"/>
  <c r="AC9" i="32"/>
  <c r="AC8" i="32"/>
  <c r="AC7" i="32"/>
  <c r="E31" i="24" l="1"/>
  <c r="AX320" i="32" l="1"/>
  <c r="AX313" i="32"/>
  <c r="BB313" i="32" s="1"/>
  <c r="AX309" i="32"/>
  <c r="AX285" i="32"/>
  <c r="AX258" i="32"/>
  <c r="AX254" i="32"/>
  <c r="BB254" i="32" s="1"/>
  <c r="AX213" i="32"/>
  <c r="BB213" i="32" s="1"/>
  <c r="AX201" i="32"/>
  <c r="AX92" i="32"/>
  <c r="AX71" i="32"/>
  <c r="AX72" i="32"/>
  <c r="AU13" i="32"/>
  <c r="AX13" i="32" s="1"/>
  <c r="BB13" i="32" s="1"/>
  <c r="AX23" i="32"/>
  <c r="AX93" i="32"/>
  <c r="AX99" i="32"/>
  <c r="AX114" i="32"/>
  <c r="AX125" i="32"/>
  <c r="AX131" i="32"/>
  <c r="BB131" i="32" s="1"/>
  <c r="AX152" i="32"/>
  <c r="AX153" i="32"/>
  <c r="AX157" i="32"/>
  <c r="I336" i="32"/>
  <c r="I335" i="32"/>
  <c r="I334" i="32"/>
  <c r="I333" i="32"/>
  <c r="I332" i="32"/>
  <c r="I331" i="32"/>
  <c r="I330" i="32"/>
  <c r="I329" i="32"/>
  <c r="I328" i="32"/>
  <c r="I327" i="32"/>
  <c r="I326" i="32"/>
  <c r="I325" i="32"/>
  <c r="I324" i="32"/>
  <c r="I323" i="32"/>
  <c r="I322" i="32"/>
  <c r="I321" i="32"/>
  <c r="I320" i="32"/>
  <c r="I319" i="32"/>
  <c r="I318" i="32"/>
  <c r="I317" i="32"/>
  <c r="I316" i="32"/>
  <c r="I315" i="32"/>
  <c r="I314" i="32"/>
  <c r="I313" i="32"/>
  <c r="I312" i="32"/>
  <c r="I311" i="32"/>
  <c r="I310" i="32"/>
  <c r="I309" i="32"/>
  <c r="I308" i="32"/>
  <c r="I307" i="32"/>
  <c r="I306" i="32"/>
  <c r="I305" i="32"/>
  <c r="I304" i="32"/>
  <c r="I303" i="32"/>
  <c r="I302" i="32"/>
  <c r="I301" i="32"/>
  <c r="I300" i="32"/>
  <c r="I299" i="32"/>
  <c r="I298" i="32"/>
  <c r="I297" i="32"/>
  <c r="I296" i="32"/>
  <c r="I295" i="32"/>
  <c r="I294" i="32"/>
  <c r="I293" i="32"/>
  <c r="I292" i="32"/>
  <c r="I291" i="32"/>
  <c r="I290" i="32"/>
  <c r="I289" i="32"/>
  <c r="I288" i="32"/>
  <c r="I287" i="32"/>
  <c r="I286" i="32"/>
  <c r="I285" i="32"/>
  <c r="I281" i="32"/>
  <c r="I283" i="32"/>
  <c r="I282" i="32"/>
  <c r="I284" i="32"/>
  <c r="I280" i="32"/>
  <c r="I279" i="32"/>
  <c r="I278" i="32"/>
  <c r="I277" i="32"/>
  <c r="I276" i="32"/>
  <c r="I275" i="32"/>
  <c r="I274" i="32"/>
  <c r="I273" i="32"/>
  <c r="I272" i="32"/>
  <c r="I271" i="32"/>
  <c r="I270" i="32"/>
  <c r="I269" i="32"/>
  <c r="I268" i="32"/>
  <c r="I267" i="32"/>
  <c r="I266" i="32"/>
  <c r="I265" i="32"/>
  <c r="I264" i="32"/>
  <c r="I263" i="32"/>
  <c r="I262" i="32"/>
  <c r="I261" i="32"/>
  <c r="I260" i="32"/>
  <c r="I259" i="32"/>
  <c r="I258" i="32"/>
  <c r="I257" i="32"/>
  <c r="I256" i="32"/>
  <c r="I255" i="32"/>
  <c r="I254" i="32"/>
  <c r="I253" i="32"/>
  <c r="I252" i="32"/>
  <c r="I251" i="32"/>
  <c r="I250" i="32"/>
  <c r="I249" i="32"/>
  <c r="I248" i="32"/>
  <c r="I246" i="32"/>
  <c r="I245" i="32"/>
  <c r="I244" i="32"/>
  <c r="I243" i="32"/>
  <c r="I242" i="32"/>
  <c r="I241" i="32"/>
  <c r="I240" i="32"/>
  <c r="I239" i="32"/>
  <c r="I238" i="32"/>
  <c r="I237" i="32"/>
  <c r="I236" i="32"/>
  <c r="I235" i="32"/>
  <c r="I234" i="32"/>
  <c r="I233" i="32"/>
  <c r="I232" i="32"/>
  <c r="I231" i="32"/>
  <c r="I230" i="32"/>
  <c r="I229" i="32"/>
  <c r="I228" i="32"/>
  <c r="I227" i="32"/>
  <c r="I226" i="32"/>
  <c r="I225" i="32"/>
  <c r="I224" i="32"/>
  <c r="I124" i="32"/>
  <c r="I223" i="32"/>
  <c r="I222" i="32"/>
  <c r="I221" i="32"/>
  <c r="I220" i="32"/>
  <c r="I219" i="32"/>
  <c r="I218" i="32"/>
  <c r="I217" i="32"/>
  <c r="I216" i="32"/>
  <c r="I215" i="32"/>
  <c r="I214" i="32"/>
  <c r="I213" i="32"/>
  <c r="I211" i="32"/>
  <c r="I210" i="32"/>
  <c r="I209" i="32"/>
  <c r="I208" i="32"/>
  <c r="I207" i="32"/>
  <c r="I206" i="32"/>
  <c r="I205" i="32"/>
  <c r="I204" i="32"/>
  <c r="I203" i="32"/>
  <c r="I202" i="32"/>
  <c r="I201" i="32"/>
  <c r="I200" i="32"/>
  <c r="I199" i="32"/>
  <c r="I198" i="32"/>
  <c r="I197" i="32"/>
  <c r="I196" i="32"/>
  <c r="I195" i="32"/>
  <c r="I194" i="32"/>
  <c r="I193" i="32"/>
  <c r="I192" i="32"/>
  <c r="I191" i="32"/>
  <c r="I190" i="32"/>
  <c r="I189" i="32"/>
  <c r="I188" i="32"/>
  <c r="I187" i="32"/>
  <c r="I186" i="32"/>
  <c r="I185" i="32"/>
  <c r="I184" i="32"/>
  <c r="I183" i="32"/>
  <c r="I182" i="32"/>
  <c r="I181" i="32"/>
  <c r="I180" i="32"/>
  <c r="I179" i="32"/>
  <c r="I178" i="32"/>
  <c r="I177" i="32"/>
  <c r="I176" i="32"/>
  <c r="I175" i="32"/>
  <c r="I174" i="32"/>
  <c r="I173" i="32"/>
  <c r="I172" i="32"/>
  <c r="I171" i="32"/>
  <c r="I170" i="32"/>
  <c r="I169" i="32"/>
  <c r="I168" i="32"/>
  <c r="I167" i="32"/>
  <c r="I166" i="32"/>
  <c r="I165" i="32"/>
  <c r="I164" i="32"/>
  <c r="I163" i="32"/>
  <c r="I162" i="32"/>
  <c r="I161" i="32"/>
  <c r="I160" i="32"/>
  <c r="I159" i="32"/>
  <c r="I158" i="32"/>
  <c r="I157" i="32"/>
  <c r="I156" i="32"/>
  <c r="I155" i="32"/>
  <c r="I154" i="32"/>
  <c r="I153" i="32"/>
  <c r="I152" i="32"/>
  <c r="I151" i="32"/>
  <c r="I150" i="32"/>
  <c r="I149" i="32"/>
  <c r="I148" i="32"/>
  <c r="I147" i="32"/>
  <c r="I146" i="32"/>
  <c r="I145" i="32"/>
  <c r="I144" i="32"/>
  <c r="I143" i="32"/>
  <c r="I142" i="32"/>
  <c r="I141" i="32"/>
  <c r="I140" i="32"/>
  <c r="I139" i="32"/>
  <c r="I138" i="32"/>
  <c r="I137" i="32"/>
  <c r="I136" i="32"/>
  <c r="I135" i="32"/>
  <c r="I134" i="32"/>
  <c r="I133" i="32"/>
  <c r="I132" i="32"/>
  <c r="I131" i="32"/>
  <c r="I130" i="32"/>
  <c r="I129" i="32"/>
  <c r="I128" i="32"/>
  <c r="I127" i="32"/>
  <c r="I126" i="32"/>
  <c r="I125" i="32"/>
  <c r="I123" i="32"/>
  <c r="I122" i="32"/>
  <c r="I121" i="32"/>
  <c r="I120" i="32"/>
  <c r="I119" i="32"/>
  <c r="I117" i="32"/>
  <c r="I116" i="32"/>
  <c r="I115" i="32"/>
  <c r="I114" i="32"/>
  <c r="I113" i="32"/>
  <c r="I112" i="32"/>
  <c r="I111" i="32"/>
  <c r="I110" i="32"/>
  <c r="I109" i="32"/>
  <c r="I108" i="32"/>
  <c r="I107" i="32"/>
  <c r="I106" i="32"/>
  <c r="I105" i="32"/>
  <c r="I104" i="32"/>
  <c r="I103" i="32"/>
  <c r="I102" i="32"/>
  <c r="I101" i="32"/>
  <c r="I100" i="32"/>
  <c r="I99" i="32"/>
  <c r="I98" i="32"/>
  <c r="I97" i="32"/>
  <c r="I96" i="32"/>
  <c r="I95" i="32"/>
  <c r="I94" i="32"/>
  <c r="I93" i="32"/>
  <c r="I92" i="32"/>
  <c r="I91" i="32"/>
  <c r="I90" i="32"/>
  <c r="I89" i="32"/>
  <c r="I88" i="32"/>
  <c r="I87" i="32"/>
  <c r="I86" i="32"/>
  <c r="I85" i="32"/>
  <c r="I84" i="32"/>
  <c r="I83" i="32"/>
  <c r="I82" i="32"/>
  <c r="I81" i="32"/>
  <c r="I80" i="32"/>
  <c r="I79" i="32"/>
  <c r="I78" i="32"/>
  <c r="I77" i="32"/>
  <c r="I76" i="32"/>
  <c r="I75" i="32"/>
  <c r="I74" i="32"/>
  <c r="I73" i="32"/>
  <c r="I72" i="32"/>
  <c r="I71" i="32"/>
  <c r="I70" i="32"/>
  <c r="I69" i="32"/>
  <c r="I68" i="32"/>
  <c r="I67" i="32"/>
  <c r="I66" i="32"/>
  <c r="I65" i="32"/>
  <c r="I64" i="32"/>
  <c r="I63" i="32"/>
  <c r="I62" i="32"/>
  <c r="I61" i="32"/>
  <c r="I60" i="32"/>
  <c r="I59" i="32"/>
  <c r="I58" i="32"/>
  <c r="I57" i="32"/>
  <c r="I56" i="32"/>
  <c r="I55" i="32"/>
  <c r="I54" i="32"/>
  <c r="I53" i="32"/>
  <c r="I52" i="32"/>
  <c r="I51" i="32"/>
  <c r="I50" i="32"/>
  <c r="I49" i="32"/>
  <c r="I48" i="32"/>
  <c r="I47" i="32"/>
  <c r="I46" i="32"/>
  <c r="I45" i="32"/>
  <c r="I44" i="32"/>
  <c r="I43" i="32"/>
  <c r="I42" i="32"/>
  <c r="I41" i="32"/>
  <c r="I40" i="32"/>
  <c r="I39" i="32"/>
  <c r="I38" i="32"/>
  <c r="I37" i="32"/>
  <c r="I36" i="32"/>
  <c r="I35" i="32"/>
  <c r="I34" i="32"/>
  <c r="I33" i="32"/>
  <c r="I32" i="32"/>
  <c r="I31" i="32"/>
  <c r="I30" i="32"/>
  <c r="I29" i="32"/>
  <c r="I28" i="32"/>
  <c r="I27" i="32"/>
  <c r="I26" i="32"/>
  <c r="I25" i="32"/>
  <c r="I24" i="32"/>
  <c r="I23" i="32"/>
  <c r="I22" i="32"/>
  <c r="I21" i="32"/>
  <c r="I20" i="32"/>
  <c r="I19" i="32"/>
  <c r="I18" i="32"/>
  <c r="I17" i="32"/>
  <c r="I16" i="32"/>
  <c r="I15" i="32"/>
  <c r="I14" i="32"/>
  <c r="I13" i="32"/>
  <c r="I12" i="32"/>
  <c r="I11" i="32"/>
  <c r="I10" i="32"/>
  <c r="I9" i="32"/>
  <c r="I8" i="32"/>
  <c r="I7" i="32"/>
  <c r="AX171" i="32"/>
  <c r="AX69" i="32"/>
  <c r="AX191" i="32"/>
  <c r="AX336" i="32"/>
  <c r="AX335" i="32"/>
  <c r="AX334" i="32"/>
  <c r="AX333" i="32"/>
  <c r="AX332" i="32"/>
  <c r="AX331" i="32"/>
  <c r="AX330" i="32"/>
  <c r="AX329" i="32"/>
  <c r="AX328" i="32"/>
  <c r="AX327" i="32"/>
  <c r="BB327" i="32" s="1"/>
  <c r="AX326" i="32"/>
  <c r="AX325" i="32"/>
  <c r="AX324" i="32"/>
  <c r="AX323" i="32"/>
  <c r="AX322" i="32"/>
  <c r="AX321" i="32"/>
  <c r="AX319" i="32"/>
  <c r="AX318" i="32"/>
  <c r="AX317" i="32"/>
  <c r="AX316" i="32"/>
  <c r="AX315" i="32"/>
  <c r="AX314" i="32"/>
  <c r="AX312" i="32"/>
  <c r="AX311" i="32"/>
  <c r="AX310" i="32"/>
  <c r="AX308" i="32"/>
  <c r="AX307" i="32"/>
  <c r="BB307" i="32" s="1"/>
  <c r="AX306" i="32"/>
  <c r="AX305" i="32"/>
  <c r="AX304" i="32"/>
  <c r="AX303" i="32"/>
  <c r="AX302" i="32"/>
  <c r="AX301" i="32"/>
  <c r="AX300" i="32"/>
  <c r="AX299" i="32"/>
  <c r="AX298" i="32"/>
  <c r="AX297" i="32"/>
  <c r="AX296" i="32"/>
  <c r="AX295" i="32"/>
  <c r="BB295" i="32" s="1"/>
  <c r="AX294" i="32"/>
  <c r="AX293" i="32"/>
  <c r="AX292" i="32"/>
  <c r="AX291" i="32"/>
  <c r="AX290" i="32"/>
  <c r="AX289" i="32"/>
  <c r="AX288" i="32"/>
  <c r="AX287" i="32"/>
  <c r="AX286" i="32"/>
  <c r="AX281" i="32"/>
  <c r="AX283" i="32"/>
  <c r="AX282" i="32"/>
  <c r="AX284" i="32"/>
  <c r="AX280" i="32"/>
  <c r="AX279" i="32"/>
  <c r="AX278" i="32"/>
  <c r="AX277" i="32"/>
  <c r="AX276" i="32"/>
  <c r="AX275" i="32"/>
  <c r="AX274" i="32"/>
  <c r="AX273" i="32"/>
  <c r="AX272" i="32"/>
  <c r="AX271" i="32"/>
  <c r="AX270" i="32"/>
  <c r="AX269" i="32"/>
  <c r="AX268" i="32"/>
  <c r="AX267" i="32"/>
  <c r="AX266" i="32"/>
  <c r="AX265" i="32"/>
  <c r="AX264" i="32"/>
  <c r="AX263" i="32"/>
  <c r="AX262" i="32"/>
  <c r="AX261" i="32"/>
  <c r="AX260" i="32"/>
  <c r="AX259" i="32"/>
  <c r="AX257" i="32"/>
  <c r="AX256" i="32"/>
  <c r="AX255" i="32"/>
  <c r="AX253" i="32"/>
  <c r="AX252" i="32"/>
  <c r="AX251" i="32"/>
  <c r="AX250" i="32"/>
  <c r="AX249" i="32"/>
  <c r="BB248" i="32"/>
  <c r="AX242" i="32"/>
  <c r="AX241" i="32"/>
  <c r="AX240" i="32"/>
  <c r="AX239" i="32"/>
  <c r="AX238" i="32"/>
  <c r="BB238" i="32" s="1"/>
  <c r="AX237" i="32"/>
  <c r="AX236" i="32"/>
  <c r="AX235" i="32"/>
  <c r="AX234" i="32"/>
  <c r="AX233" i="32"/>
  <c r="AX232" i="32"/>
  <c r="AX231" i="32"/>
  <c r="AX230" i="32"/>
  <c r="AX229" i="32"/>
  <c r="AX228" i="32"/>
  <c r="BB228" i="32" s="1"/>
  <c r="AX227" i="32"/>
  <c r="AX226" i="32"/>
  <c r="BB226" i="32" s="1"/>
  <c r="AX225" i="32"/>
  <c r="AX224" i="32"/>
  <c r="AX124" i="32"/>
  <c r="BB124" i="32" s="1"/>
  <c r="AX223" i="32"/>
  <c r="AX222" i="32"/>
  <c r="AX221" i="32"/>
  <c r="AX220" i="32"/>
  <c r="AX219" i="32"/>
  <c r="AX218" i="32"/>
  <c r="AX217" i="32"/>
  <c r="AX216" i="32"/>
  <c r="AX215" i="32"/>
  <c r="AX214" i="32"/>
  <c r="AX211" i="32"/>
  <c r="AX210" i="32"/>
  <c r="AX209" i="32"/>
  <c r="AX208" i="32"/>
  <c r="AX207" i="32"/>
  <c r="AX206" i="32"/>
  <c r="AX205" i="32"/>
  <c r="AX204" i="32"/>
  <c r="AX203" i="32"/>
  <c r="AX202" i="32"/>
  <c r="AX200" i="32"/>
  <c r="AX199" i="32"/>
  <c r="AX198" i="32"/>
  <c r="AX197" i="32"/>
  <c r="AX196" i="32"/>
  <c r="AX195" i="32"/>
  <c r="AX194" i="32"/>
  <c r="AX193" i="32"/>
  <c r="AX192" i="32"/>
  <c r="AX190" i="32"/>
  <c r="AX189" i="32"/>
  <c r="AX188" i="32"/>
  <c r="AX187" i="32"/>
  <c r="AX186" i="32"/>
  <c r="AX185" i="32"/>
  <c r="AX184" i="32"/>
  <c r="AX183" i="32"/>
  <c r="AX182" i="32"/>
  <c r="AX181" i="32"/>
  <c r="BB181" i="32" s="1"/>
  <c r="AX180" i="32"/>
  <c r="AX179" i="32"/>
  <c r="AX178" i="32"/>
  <c r="AX177" i="32"/>
  <c r="AX176" i="32"/>
  <c r="AX175" i="32"/>
  <c r="AX174" i="32"/>
  <c r="AX173" i="32"/>
  <c r="AX172" i="32"/>
  <c r="AX170" i="32"/>
  <c r="AX169" i="32"/>
  <c r="AX168" i="32"/>
  <c r="AX167" i="32"/>
  <c r="AX166" i="32"/>
  <c r="AX165" i="32"/>
  <c r="AX164" i="32"/>
  <c r="AX163" i="32"/>
  <c r="AX162" i="32"/>
  <c r="AX161" i="32"/>
  <c r="AX160" i="32"/>
  <c r="AX159" i="32"/>
  <c r="AX158" i="32"/>
  <c r="AX156" i="32"/>
  <c r="AX155" i="32"/>
  <c r="AX154" i="32"/>
  <c r="AX151" i="32"/>
  <c r="AX150" i="32"/>
  <c r="AX149" i="32"/>
  <c r="AX148" i="32"/>
  <c r="AX147" i="32"/>
  <c r="AX146" i="32"/>
  <c r="AX145" i="32"/>
  <c r="AX144" i="32"/>
  <c r="AX143" i="32"/>
  <c r="AX142" i="32"/>
  <c r="BB142" i="32" s="1"/>
  <c r="AX141" i="32"/>
  <c r="AX140" i="32"/>
  <c r="AX139" i="32"/>
  <c r="BB139" i="32" s="1"/>
  <c r="AX138" i="32"/>
  <c r="AX137" i="32"/>
  <c r="AX136" i="32"/>
  <c r="AX135" i="32"/>
  <c r="BB135" i="32" s="1"/>
  <c r="AX134" i="32"/>
  <c r="AX133" i="32"/>
  <c r="AX132" i="32"/>
  <c r="AX130" i="32"/>
  <c r="AX129" i="32"/>
  <c r="AX128" i="32"/>
  <c r="AX127" i="32"/>
  <c r="AX126" i="32"/>
  <c r="AX123" i="32"/>
  <c r="AX122" i="32"/>
  <c r="AX121" i="32"/>
  <c r="AX120" i="32"/>
  <c r="AX119" i="32"/>
  <c r="AX117" i="32"/>
  <c r="AX116" i="32"/>
  <c r="AX115" i="32"/>
  <c r="AX113" i="32"/>
  <c r="BB113" i="32" s="1"/>
  <c r="AX112" i="32"/>
  <c r="AX111" i="32"/>
  <c r="AX110" i="32"/>
  <c r="AX109" i="32"/>
  <c r="AX108" i="32"/>
  <c r="AX107" i="32"/>
  <c r="AX106" i="32"/>
  <c r="AX105" i="32"/>
  <c r="AX104" i="32"/>
  <c r="AX103" i="32"/>
  <c r="AX102" i="32"/>
  <c r="AX101" i="32"/>
  <c r="AX100" i="32"/>
  <c r="BB100" i="32" s="1"/>
  <c r="AX98" i="32"/>
  <c r="AX97" i="32"/>
  <c r="AX96" i="32"/>
  <c r="AX95" i="32"/>
  <c r="AX94" i="32"/>
  <c r="AX91" i="32"/>
  <c r="AU90" i="32"/>
  <c r="AX90" i="32" s="1"/>
  <c r="AU89" i="32"/>
  <c r="AX89" i="32" s="1"/>
  <c r="AU88" i="32"/>
  <c r="AX88" i="32" s="1"/>
  <c r="AU87" i="32"/>
  <c r="AX87" i="32" s="1"/>
  <c r="AU86" i="32"/>
  <c r="AX86" i="32" s="1"/>
  <c r="AU85" i="32"/>
  <c r="AX85" i="32" s="1"/>
  <c r="AU84" i="32"/>
  <c r="AX84" i="32" s="1"/>
  <c r="AU83" i="32"/>
  <c r="AX83" i="32" s="1"/>
  <c r="AU82" i="32"/>
  <c r="AX82" i="32" s="1"/>
  <c r="AU81" i="32"/>
  <c r="AX81" i="32" s="1"/>
  <c r="AX80" i="32"/>
  <c r="AX79" i="32"/>
  <c r="AX78" i="32"/>
  <c r="AX77" i="32"/>
  <c r="AX76" i="32"/>
  <c r="AX75" i="32"/>
  <c r="AX74" i="32"/>
  <c r="AX73" i="32"/>
  <c r="AX70" i="32"/>
  <c r="AX68" i="32"/>
  <c r="AX67" i="32"/>
  <c r="AX66" i="32"/>
  <c r="AX65" i="32"/>
  <c r="AX64" i="32"/>
  <c r="AX63" i="32"/>
  <c r="AX62" i="32"/>
  <c r="AX61" i="32"/>
  <c r="AX60" i="32"/>
  <c r="AX59" i="32"/>
  <c r="AX58" i="32"/>
  <c r="AX57" i="32"/>
  <c r="AX56" i="32"/>
  <c r="AX55" i="32"/>
  <c r="AX54" i="32"/>
  <c r="AX53" i="32"/>
  <c r="AX52" i="32"/>
  <c r="AX51" i="32"/>
  <c r="AX50" i="32"/>
  <c r="AX49" i="32"/>
  <c r="AX48" i="32"/>
  <c r="AX47" i="32"/>
  <c r="AX46" i="32"/>
  <c r="AX45" i="32"/>
  <c r="AX44" i="32"/>
  <c r="AX43" i="32"/>
  <c r="AX42" i="32"/>
  <c r="AX41" i="32"/>
  <c r="BB41" i="32" s="1"/>
  <c r="AX40" i="32"/>
  <c r="AX39" i="32"/>
  <c r="AX38" i="32"/>
  <c r="AX37" i="32"/>
  <c r="AX36" i="32"/>
  <c r="AX35" i="32"/>
  <c r="AX34" i="32"/>
  <c r="AX33" i="32"/>
  <c r="AX32" i="32"/>
  <c r="AX31" i="32"/>
  <c r="AX30" i="32"/>
  <c r="AX29" i="32"/>
  <c r="BB29" i="32" s="1"/>
  <c r="AX28" i="32"/>
  <c r="AX27" i="32"/>
  <c r="AX26" i="32"/>
  <c r="AX25" i="32"/>
  <c r="BB25" i="32" s="1"/>
  <c r="AX24" i="32"/>
  <c r="AX22" i="32"/>
  <c r="AX21" i="32"/>
  <c r="AX20" i="32"/>
  <c r="AX19" i="32"/>
  <c r="AX18" i="32"/>
  <c r="BB18" i="32" s="1"/>
  <c r="AX16" i="32"/>
  <c r="AX15" i="32"/>
  <c r="AX14" i="32"/>
  <c r="AX12" i="32"/>
  <c r="AX11" i="32"/>
  <c r="AX10" i="32"/>
  <c r="AX9" i="32"/>
  <c r="BB9" i="32" s="1"/>
  <c r="AX8" i="32"/>
  <c r="BB8" i="32" s="1"/>
  <c r="AX7" i="32"/>
  <c r="AR336" i="32"/>
  <c r="AR335" i="32"/>
  <c r="AR334" i="32"/>
  <c r="AR333" i="32"/>
  <c r="AR332" i="32"/>
  <c r="AR331" i="32"/>
  <c r="AR330" i="32"/>
  <c r="AR329" i="32"/>
  <c r="AR328" i="32"/>
  <c r="AR327" i="32"/>
  <c r="AR326" i="32"/>
  <c r="AR325" i="32"/>
  <c r="AR324" i="32"/>
  <c r="AR323" i="32"/>
  <c r="AR322" i="32"/>
  <c r="AR321" i="32"/>
  <c r="AR320" i="32"/>
  <c r="AR319" i="32"/>
  <c r="AR318" i="32"/>
  <c r="AR317" i="32"/>
  <c r="AR316" i="32"/>
  <c r="AR315" i="32"/>
  <c r="AR314" i="32"/>
  <c r="AR313" i="32"/>
  <c r="AR312" i="32"/>
  <c r="AR311" i="32"/>
  <c r="AR310" i="32"/>
  <c r="AR309" i="32"/>
  <c r="AR308" i="32"/>
  <c r="AR307" i="32"/>
  <c r="AR306" i="32"/>
  <c r="AR305" i="32"/>
  <c r="AR304" i="32"/>
  <c r="AR303" i="32"/>
  <c r="AR302" i="32"/>
  <c r="AR301" i="32"/>
  <c r="AR300" i="32"/>
  <c r="AR299" i="32"/>
  <c r="AR298" i="32"/>
  <c r="AR297" i="32"/>
  <c r="AR296" i="32"/>
  <c r="AR295" i="32"/>
  <c r="AR294" i="32"/>
  <c r="AR293" i="32"/>
  <c r="AR292" i="32"/>
  <c r="AR291" i="32"/>
  <c r="AR290" i="32"/>
  <c r="AR289" i="32"/>
  <c r="AR288" i="32"/>
  <c r="AR287" i="32"/>
  <c r="AR286" i="32"/>
  <c r="AR285" i="32"/>
  <c r="AR281" i="32"/>
  <c r="AR283" i="32"/>
  <c r="AR282" i="32"/>
  <c r="AR284" i="32"/>
  <c r="AR280" i="32"/>
  <c r="AR279" i="32"/>
  <c r="AR278" i="32"/>
  <c r="AR277" i="32"/>
  <c r="AR276" i="32"/>
  <c r="AR275" i="32"/>
  <c r="AR274" i="32"/>
  <c r="AR273" i="32"/>
  <c r="AR272" i="32"/>
  <c r="AR271" i="32"/>
  <c r="AR270" i="32"/>
  <c r="AR269" i="32"/>
  <c r="AR268" i="32"/>
  <c r="AR267" i="32"/>
  <c r="AR266" i="32"/>
  <c r="AR265" i="32"/>
  <c r="AR264" i="32"/>
  <c r="AR263" i="32"/>
  <c r="AR262" i="32"/>
  <c r="AR261" i="32"/>
  <c r="AR260" i="32"/>
  <c r="AR259" i="32"/>
  <c r="AR258" i="32"/>
  <c r="AR257" i="32"/>
  <c r="AR256" i="32"/>
  <c r="AR255" i="32"/>
  <c r="AR254" i="32"/>
  <c r="AR253" i="32"/>
  <c r="AR252" i="32"/>
  <c r="AR251" i="32"/>
  <c r="AR250" i="32"/>
  <c r="AR249" i="32"/>
  <c r="AR238" i="32"/>
  <c r="AR237" i="32"/>
  <c r="AR236" i="32"/>
  <c r="AR235" i="32"/>
  <c r="AR234" i="32"/>
  <c r="AR233" i="32"/>
  <c r="AR232" i="32"/>
  <c r="AR231" i="32"/>
  <c r="AR230" i="32"/>
  <c r="AR229" i="32"/>
  <c r="AR228" i="32"/>
  <c r="AR227" i="32"/>
  <c r="AR226" i="32"/>
  <c r="AR225" i="32"/>
  <c r="AR224" i="32"/>
  <c r="AR124" i="32"/>
  <c r="AR223" i="32"/>
  <c r="AR222" i="32"/>
  <c r="AR220" i="32"/>
  <c r="AR219" i="32"/>
  <c r="AR218" i="32"/>
  <c r="AR217" i="32"/>
  <c r="AR216" i="32"/>
  <c r="AR215" i="32"/>
  <c r="AR214" i="32"/>
  <c r="AR213" i="32"/>
  <c r="AR211" i="32"/>
  <c r="AR210" i="32"/>
  <c r="AR209" i="32"/>
  <c r="AR208" i="32"/>
  <c r="AR207" i="32"/>
  <c r="AR206" i="32"/>
  <c r="AR205" i="32"/>
  <c r="AR204" i="32"/>
  <c r="AR203" i="32"/>
  <c r="AR202" i="32"/>
  <c r="AR201" i="32"/>
  <c r="AR200" i="32"/>
  <c r="AR199" i="32"/>
  <c r="AR198" i="32"/>
  <c r="AR197" i="32"/>
  <c r="AR196" i="32"/>
  <c r="AR195" i="32"/>
  <c r="AR194" i="32"/>
  <c r="AR193" i="32"/>
  <c r="AR192" i="32"/>
  <c r="AR190" i="32"/>
  <c r="AR189" i="32"/>
  <c r="AR188" i="32"/>
  <c r="AR187" i="32"/>
  <c r="AR186" i="32"/>
  <c r="AR185" i="32"/>
  <c r="AR184" i="32"/>
  <c r="AR183" i="32"/>
  <c r="AR182" i="32"/>
  <c r="AR181" i="32"/>
  <c r="AR180" i="32"/>
  <c r="AR179" i="32"/>
  <c r="AR178" i="32"/>
  <c r="AR177" i="32"/>
  <c r="AR176" i="32"/>
  <c r="AR175" i="32"/>
  <c r="AR174" i="32"/>
  <c r="AR173" i="32"/>
  <c r="AR172" i="32"/>
  <c r="AR170" i="32"/>
  <c r="AR169" i="32"/>
  <c r="AR168" i="32"/>
  <c r="AR167" i="32"/>
  <c r="AR166" i="32"/>
  <c r="AR165" i="32"/>
  <c r="AR164" i="32"/>
  <c r="AR163" i="32"/>
  <c r="AR162" i="32"/>
  <c r="AR161" i="32"/>
  <c r="AR160" i="32"/>
  <c r="AR159" i="32"/>
  <c r="AR158" i="32"/>
  <c r="AR157" i="32"/>
  <c r="AR156" i="32"/>
  <c r="AR155" i="32"/>
  <c r="AR154" i="32"/>
  <c r="AR153" i="32"/>
  <c r="AR152" i="32"/>
  <c r="AR151" i="32"/>
  <c r="AR150" i="32"/>
  <c r="AR149" i="32"/>
  <c r="AR148" i="32"/>
  <c r="AR147" i="32"/>
  <c r="AR146" i="32"/>
  <c r="AR145" i="32"/>
  <c r="AR144" i="32"/>
  <c r="AR143" i="32"/>
  <c r="AR142" i="32"/>
  <c r="AR141" i="32"/>
  <c r="AR140" i="32"/>
  <c r="AR139" i="32"/>
  <c r="AR138" i="32"/>
  <c r="AR137" i="32"/>
  <c r="AR136" i="32"/>
  <c r="AR135" i="32"/>
  <c r="AR134" i="32"/>
  <c r="AR133" i="32"/>
  <c r="AR132" i="32"/>
  <c r="AR131" i="32"/>
  <c r="AR130" i="32"/>
  <c r="AR129" i="32"/>
  <c r="AR128" i="32"/>
  <c r="AR127" i="32"/>
  <c r="AR126" i="32"/>
  <c r="AR125" i="32"/>
  <c r="AR123" i="32"/>
  <c r="AR122" i="32"/>
  <c r="AR121" i="32"/>
  <c r="AR120" i="32"/>
  <c r="AR119" i="32"/>
  <c r="AR117" i="32"/>
  <c r="AR116" i="32"/>
  <c r="AR115" i="32"/>
  <c r="AR114" i="32"/>
  <c r="AR113" i="32"/>
  <c r="AR112" i="32"/>
  <c r="AR111" i="32"/>
  <c r="AR110" i="32"/>
  <c r="AR109" i="32"/>
  <c r="AR108" i="32"/>
  <c r="AR107" i="32"/>
  <c r="AR106" i="32"/>
  <c r="AR105" i="32"/>
  <c r="AR104" i="32"/>
  <c r="AR103" i="32"/>
  <c r="AR102" i="32"/>
  <c r="AR101" i="32"/>
  <c r="AR100" i="32"/>
  <c r="AR99" i="32"/>
  <c r="AR98" i="32"/>
  <c r="AR97" i="32"/>
  <c r="AR96" i="32"/>
  <c r="AR95" i="32"/>
  <c r="AR94" i="32"/>
  <c r="AR93" i="32"/>
  <c r="AR89" i="32"/>
  <c r="AR88" i="32"/>
  <c r="AR87" i="32"/>
  <c r="AR86" i="32"/>
  <c r="AR85" i="32"/>
  <c r="AR84" i="32"/>
  <c r="AR83" i="32"/>
  <c r="AR82" i="32"/>
  <c r="AR81" i="32"/>
  <c r="AR80" i="32"/>
  <c r="AR79" i="32"/>
  <c r="AR78" i="32"/>
  <c r="AR77" i="32"/>
  <c r="AR76" i="32"/>
  <c r="AR75" i="32"/>
  <c r="AR74" i="32"/>
  <c r="AR73" i="32"/>
  <c r="AR72" i="32"/>
  <c r="AR71" i="32"/>
  <c r="AR70" i="32"/>
  <c r="AR69" i="32"/>
  <c r="AR68" i="32"/>
  <c r="AR67" i="32"/>
  <c r="AR66" i="32"/>
  <c r="AR65" i="32"/>
  <c r="AR64" i="32"/>
  <c r="AR63" i="32"/>
  <c r="AR62" i="32"/>
  <c r="AR61" i="32"/>
  <c r="AR60" i="32"/>
  <c r="AR59" i="32"/>
  <c r="AR58" i="32"/>
  <c r="AR56" i="32"/>
  <c r="AR55" i="32"/>
  <c r="AR54" i="32"/>
  <c r="AR53" i="32"/>
  <c r="AR52" i="32"/>
  <c r="AR51" i="32"/>
  <c r="AR50" i="32"/>
  <c r="AR49" i="32"/>
  <c r="AR48" i="32"/>
  <c r="AR47" i="32"/>
  <c r="AR46" i="32"/>
  <c r="AR45" i="32"/>
  <c r="AR44" i="32"/>
  <c r="AR43" i="32"/>
  <c r="AR42" i="32"/>
  <c r="AR41" i="32"/>
  <c r="AR40" i="32"/>
  <c r="AR39" i="32"/>
  <c r="AR38" i="32"/>
  <c r="AR37" i="32"/>
  <c r="AR36" i="32"/>
  <c r="AR35" i="32"/>
  <c r="AR34" i="32"/>
  <c r="AR33" i="32"/>
  <c r="AR32" i="32"/>
  <c r="AR31" i="32"/>
  <c r="AR30" i="32"/>
  <c r="AR29" i="32"/>
  <c r="AR28" i="32"/>
  <c r="AR27" i="32"/>
  <c r="AR26" i="32"/>
  <c r="AR25" i="32"/>
  <c r="AR24" i="32"/>
  <c r="AR23" i="32"/>
  <c r="AR22" i="32"/>
  <c r="AR21" i="32"/>
  <c r="AR20" i="32"/>
  <c r="AR19" i="32"/>
  <c r="AR18" i="32"/>
  <c r="AR17" i="32"/>
  <c r="AR16" i="32"/>
  <c r="AR15" i="32"/>
  <c r="AR14" i="32"/>
  <c r="AR13" i="32"/>
  <c r="AR12" i="32"/>
  <c r="AR11" i="32"/>
  <c r="AR10" i="32"/>
  <c r="AR9" i="32"/>
  <c r="AR8" i="32"/>
  <c r="AR7" i="32"/>
  <c r="AG336" i="32"/>
  <c r="AG335" i="32"/>
  <c r="AG334" i="32"/>
  <c r="AG333" i="32"/>
  <c r="AG332" i="32"/>
  <c r="AG331" i="32"/>
  <c r="AG330" i="32"/>
  <c r="AG329" i="32"/>
  <c r="AG328" i="32"/>
  <c r="AG327" i="32"/>
  <c r="AG326" i="32"/>
  <c r="AG325" i="32"/>
  <c r="AG324" i="32"/>
  <c r="AG323" i="32"/>
  <c r="AG322" i="32"/>
  <c r="AG321" i="32"/>
  <c r="AG320" i="32"/>
  <c r="AG319" i="32"/>
  <c r="AG318" i="32"/>
  <c r="AG317" i="32"/>
  <c r="AG316" i="32"/>
  <c r="AG315" i="32"/>
  <c r="AG314" i="32"/>
  <c r="AG313" i="32"/>
  <c r="AG312" i="32"/>
  <c r="AG311" i="32"/>
  <c r="AG310" i="32"/>
  <c r="AG309" i="32"/>
  <c r="AG308" i="32"/>
  <c r="AG307" i="32"/>
  <c r="AG306" i="32"/>
  <c r="AG305" i="32"/>
  <c r="AG304" i="32"/>
  <c r="AG303" i="32"/>
  <c r="AG302" i="32"/>
  <c r="AG301" i="32"/>
  <c r="AG300" i="32"/>
  <c r="AG299" i="32"/>
  <c r="AG298" i="32"/>
  <c r="AG297" i="32"/>
  <c r="AG296" i="32"/>
  <c r="AG295" i="32"/>
  <c r="AG294" i="32"/>
  <c r="AG293" i="32"/>
  <c r="AG292" i="32"/>
  <c r="AG291" i="32"/>
  <c r="AG290" i="32"/>
  <c r="AG289" i="32"/>
  <c r="AG288" i="32"/>
  <c r="AG287" i="32"/>
  <c r="AG286" i="32"/>
  <c r="AG285" i="32"/>
  <c r="AG281" i="32"/>
  <c r="AG283" i="32"/>
  <c r="AG282" i="32"/>
  <c r="AG284" i="32"/>
  <c r="AG280" i="32"/>
  <c r="AG279" i="32"/>
  <c r="AG278" i="32"/>
  <c r="AG277" i="32"/>
  <c r="AG276" i="32"/>
  <c r="AG275" i="32"/>
  <c r="AG274" i="32"/>
  <c r="AG273" i="32"/>
  <c r="AG272" i="32"/>
  <c r="AG271" i="32"/>
  <c r="AG270" i="32"/>
  <c r="AG269" i="32"/>
  <c r="AG268" i="32"/>
  <c r="AG267" i="32"/>
  <c r="AG266" i="32"/>
  <c r="AG265" i="32"/>
  <c r="AG264" i="32"/>
  <c r="AG263" i="32"/>
  <c r="AG262" i="32"/>
  <c r="AG261" i="32"/>
  <c r="AG260" i="32"/>
  <c r="AG259" i="32"/>
  <c r="AG258" i="32"/>
  <c r="AG257" i="32"/>
  <c r="AG256" i="32"/>
  <c r="AG255" i="32"/>
  <c r="AG254" i="32"/>
  <c r="AG253" i="32"/>
  <c r="AG252" i="32"/>
  <c r="AG251" i="32"/>
  <c r="AG250" i="32"/>
  <c r="AG249" i="32"/>
  <c r="AG248" i="32"/>
  <c r="AG246" i="32"/>
  <c r="AG245" i="32"/>
  <c r="AG244" i="32"/>
  <c r="AG243" i="32"/>
  <c r="AG242" i="32"/>
  <c r="AG241" i="32"/>
  <c r="AG240" i="32"/>
  <c r="AG239" i="32"/>
  <c r="AG238" i="32"/>
  <c r="AG237" i="32"/>
  <c r="AG236" i="32"/>
  <c r="AG235" i="32"/>
  <c r="AG234" i="32"/>
  <c r="AG233" i="32"/>
  <c r="AG232" i="32"/>
  <c r="AG231" i="32"/>
  <c r="AG230" i="32"/>
  <c r="AG229" i="32"/>
  <c r="AG228" i="32"/>
  <c r="AG227" i="32"/>
  <c r="AG226" i="32"/>
  <c r="AG225" i="32"/>
  <c r="AG224" i="32"/>
  <c r="AG124" i="32"/>
  <c r="AG223" i="32"/>
  <c r="AG222" i="32"/>
  <c r="AG221" i="32"/>
  <c r="AG220" i="32"/>
  <c r="AG219" i="32"/>
  <c r="AG218" i="32"/>
  <c r="AG217" i="32"/>
  <c r="AG216" i="32"/>
  <c r="AG215" i="32"/>
  <c r="AG214" i="32"/>
  <c r="AG213" i="32"/>
  <c r="AG211" i="32"/>
  <c r="AG210" i="32"/>
  <c r="AG209" i="32"/>
  <c r="AG208" i="32"/>
  <c r="AG207" i="32"/>
  <c r="AG206" i="32"/>
  <c r="AG205" i="32"/>
  <c r="AG204" i="32"/>
  <c r="AG203" i="32"/>
  <c r="AG202" i="32"/>
  <c r="AG201" i="32"/>
  <c r="AG200" i="32"/>
  <c r="AG199" i="32"/>
  <c r="AG198" i="32"/>
  <c r="AG197" i="32"/>
  <c r="AG196" i="32"/>
  <c r="AG195" i="32"/>
  <c r="AG194" i="32"/>
  <c r="AG193" i="32"/>
  <c r="AG192" i="32"/>
  <c r="AG191" i="32"/>
  <c r="AG190" i="32"/>
  <c r="AG189" i="32"/>
  <c r="AG188" i="32"/>
  <c r="AG187" i="32"/>
  <c r="AG186" i="32"/>
  <c r="AG185" i="32"/>
  <c r="AG184" i="32"/>
  <c r="AG183" i="32"/>
  <c r="AG182" i="32"/>
  <c r="AG181" i="32"/>
  <c r="AG180" i="32"/>
  <c r="AG179" i="32"/>
  <c r="AG178" i="32"/>
  <c r="AG177" i="32"/>
  <c r="AG176" i="32"/>
  <c r="AG175" i="32"/>
  <c r="AG174" i="32"/>
  <c r="AG173" i="32"/>
  <c r="AG172" i="32"/>
  <c r="AG171" i="32"/>
  <c r="AG170" i="32"/>
  <c r="AG169" i="32"/>
  <c r="AG168" i="32"/>
  <c r="AG167" i="32"/>
  <c r="AG166" i="32"/>
  <c r="AG165" i="32"/>
  <c r="AG164" i="32"/>
  <c r="AG163" i="32"/>
  <c r="AG162" i="32"/>
  <c r="AG161" i="32"/>
  <c r="AG160" i="32"/>
  <c r="AG159" i="32"/>
  <c r="AG158" i="32"/>
  <c r="AG157" i="32"/>
  <c r="AG156" i="32"/>
  <c r="AG155" i="32"/>
  <c r="AG154" i="32"/>
  <c r="AG153" i="32"/>
  <c r="AG152" i="32"/>
  <c r="AG151" i="32"/>
  <c r="AG150" i="32"/>
  <c r="AG149" i="32"/>
  <c r="AG148" i="32"/>
  <c r="AG147" i="32"/>
  <c r="AG146" i="32"/>
  <c r="AG145" i="32"/>
  <c r="AG144" i="32"/>
  <c r="AG143" i="32"/>
  <c r="AG142" i="32"/>
  <c r="AG141" i="32"/>
  <c r="AG140" i="32"/>
  <c r="AG139" i="32"/>
  <c r="AG138" i="32"/>
  <c r="AG137" i="32"/>
  <c r="AG136" i="32"/>
  <c r="AG135" i="32"/>
  <c r="AG134" i="32"/>
  <c r="AG133" i="32"/>
  <c r="AG132" i="32"/>
  <c r="AG131" i="32"/>
  <c r="AG130" i="32"/>
  <c r="AG129" i="32"/>
  <c r="AG128" i="32"/>
  <c r="AG127" i="32"/>
  <c r="AG126" i="32"/>
  <c r="AG125" i="32"/>
  <c r="AG123" i="32"/>
  <c r="AG122" i="32"/>
  <c r="AG121" i="32"/>
  <c r="AG120" i="32"/>
  <c r="AG119" i="32"/>
  <c r="AG117" i="32"/>
  <c r="AG116" i="32"/>
  <c r="AG115" i="32"/>
  <c r="AG114" i="32"/>
  <c r="AG113" i="32"/>
  <c r="AG112" i="32"/>
  <c r="AG111" i="32"/>
  <c r="AG110" i="32"/>
  <c r="AG109" i="32"/>
  <c r="AG108" i="32"/>
  <c r="AG107" i="32"/>
  <c r="AG106" i="32"/>
  <c r="AG105" i="32"/>
  <c r="AG104" i="32"/>
  <c r="AG103" i="32"/>
  <c r="AG102" i="32"/>
  <c r="AG101" i="32"/>
  <c r="AG100" i="32"/>
  <c r="AG99" i="32"/>
  <c r="AG98" i="32"/>
  <c r="AG97" i="32"/>
  <c r="AG96" i="32"/>
  <c r="AG95" i="32"/>
  <c r="AG94" i="32"/>
  <c r="AG93" i="32"/>
  <c r="AG92" i="32"/>
  <c r="AG91" i="32"/>
  <c r="AG90" i="32"/>
  <c r="AG89" i="32"/>
  <c r="AG88" i="32"/>
  <c r="AG87" i="32"/>
  <c r="AG86" i="32"/>
  <c r="AG85" i="32"/>
  <c r="AG84" i="32"/>
  <c r="AG83" i="32"/>
  <c r="AG82" i="32"/>
  <c r="AG81" i="32"/>
  <c r="AG80" i="32"/>
  <c r="AG79" i="32"/>
  <c r="AG78" i="32"/>
  <c r="AG77" i="32"/>
  <c r="AG76" i="32"/>
  <c r="AG75" i="32"/>
  <c r="AG74" i="32"/>
  <c r="AG73" i="32"/>
  <c r="AG72" i="32"/>
  <c r="AG71" i="32"/>
  <c r="AG70" i="32"/>
  <c r="AG69" i="32"/>
  <c r="AG68" i="32"/>
  <c r="AG67" i="32"/>
  <c r="AG66" i="32"/>
  <c r="AG65" i="32"/>
  <c r="AG64" i="32"/>
  <c r="AG63" i="32"/>
  <c r="AG62" i="32"/>
  <c r="AG61" i="32"/>
  <c r="AG60" i="32"/>
  <c r="AG59" i="32"/>
  <c r="AG58" i="32"/>
  <c r="AG57" i="32"/>
  <c r="AG56" i="32"/>
  <c r="AG55" i="32"/>
  <c r="AG54" i="32"/>
  <c r="AG53" i="32"/>
  <c r="AG52" i="32"/>
  <c r="AG51" i="32"/>
  <c r="AG50" i="32"/>
  <c r="AG49" i="32"/>
  <c r="AG48" i="32"/>
  <c r="AG47" i="32"/>
  <c r="AG46" i="32"/>
  <c r="AG45" i="32"/>
  <c r="AG44" i="32"/>
  <c r="AG43" i="32"/>
  <c r="AG42" i="32"/>
  <c r="AG41" i="32"/>
  <c r="AG40" i="32"/>
  <c r="AG39" i="32"/>
  <c r="AG38" i="32"/>
  <c r="AG37" i="32"/>
  <c r="AG36" i="32"/>
  <c r="AG35" i="32"/>
  <c r="AG34" i="32"/>
  <c r="AG33" i="32"/>
  <c r="AG32" i="32"/>
  <c r="AG31" i="32"/>
  <c r="AG30" i="32"/>
  <c r="AG29" i="32"/>
  <c r="AG28" i="32"/>
  <c r="AG27" i="32"/>
  <c r="AG26" i="32"/>
  <c r="AG25" i="32"/>
  <c r="AG24" i="32"/>
  <c r="AG23" i="32"/>
  <c r="AG22" i="32"/>
  <c r="AG21" i="32"/>
  <c r="AG20" i="32"/>
  <c r="AG19" i="32"/>
  <c r="AG18" i="32"/>
  <c r="AG17" i="32"/>
  <c r="AG16" i="32"/>
  <c r="AG15" i="32"/>
  <c r="AG14" i="32"/>
  <c r="AG13" i="32"/>
  <c r="AG12" i="32"/>
  <c r="AG11" i="32"/>
  <c r="AG10" i="32"/>
  <c r="AG9" i="32"/>
  <c r="AG8" i="32"/>
  <c r="AG7" i="32"/>
  <c r="BB117" i="32" l="1"/>
  <c r="BB259" i="32"/>
  <c r="BC100" i="32"/>
  <c r="BB141" i="32"/>
  <c r="AY12" i="32"/>
  <c r="BB279" i="32"/>
  <c r="BB86" i="32"/>
  <c r="BC86" i="32" s="1"/>
  <c r="BB47" i="32"/>
  <c r="BC47" i="32" s="1"/>
  <c r="BB211" i="32"/>
  <c r="BB121" i="32"/>
  <c r="BB316" i="32"/>
  <c r="AY9" i="32"/>
  <c r="BB167" i="32"/>
  <c r="BB159" i="32"/>
  <c r="BB184" i="32"/>
  <c r="BB246" i="32"/>
  <c r="BB286" i="32"/>
  <c r="BB49" i="32"/>
  <c r="BC49" i="32" s="1"/>
  <c r="BB54" i="32"/>
  <c r="BC54" i="32" s="1"/>
  <c r="BB108" i="32"/>
  <c r="BC108" i="32" s="1"/>
  <c r="BB164" i="32"/>
  <c r="BB233" i="32"/>
  <c r="BB260" i="32"/>
  <c r="BB298" i="32"/>
  <c r="AY10" i="32"/>
  <c r="BB10" i="32"/>
  <c r="BC10" i="32" s="1"/>
  <c r="BB183" i="32"/>
  <c r="BB273" i="32"/>
  <c r="BB26" i="32"/>
  <c r="BC26" i="32" s="1"/>
  <c r="BB133" i="32"/>
  <c r="BB224" i="32"/>
  <c r="BB287" i="32"/>
  <c r="BB39" i="32"/>
  <c r="BC39" i="32" s="1"/>
  <c r="BB219" i="32"/>
  <c r="BB14" i="32"/>
  <c r="BC14" i="32" s="1"/>
  <c r="BB105" i="32"/>
  <c r="BC105" i="32" s="1"/>
  <c r="BB134" i="32"/>
  <c r="BB174" i="32"/>
  <c r="BB225" i="32"/>
  <c r="BB275" i="32"/>
  <c r="BB300" i="32"/>
  <c r="AY155" i="32"/>
  <c r="BB155" i="32"/>
  <c r="BB334" i="32"/>
  <c r="BB15" i="32"/>
  <c r="BC15" i="32" s="1"/>
  <c r="BB40" i="32"/>
  <c r="BC40" i="32" s="1"/>
  <c r="BB52" i="32"/>
  <c r="BC52" i="32" s="1"/>
  <c r="BB79" i="32"/>
  <c r="BC79" i="32" s="1"/>
  <c r="BB91" i="32"/>
  <c r="BC91" i="32" s="1"/>
  <c r="BB106" i="32"/>
  <c r="BC106" i="32" s="1"/>
  <c r="BB120" i="32"/>
  <c r="BB147" i="32"/>
  <c r="BB162" i="32"/>
  <c r="BB187" i="32"/>
  <c r="BB200" i="32"/>
  <c r="BB237" i="32"/>
  <c r="BB264" i="32"/>
  <c r="BB289" i="32"/>
  <c r="BB328" i="32"/>
  <c r="BB45" i="32"/>
  <c r="BC45" i="32" s="1"/>
  <c r="BB94" i="32"/>
  <c r="BC94" i="32" s="1"/>
  <c r="BB256" i="32"/>
  <c r="BB116" i="32"/>
  <c r="BB325" i="32"/>
  <c r="BB185" i="32"/>
  <c r="BB299" i="32"/>
  <c r="BB68" i="32"/>
  <c r="BC68" i="32" s="1"/>
  <c r="BB252" i="32"/>
  <c r="BB27" i="32"/>
  <c r="BC27" i="32" s="1"/>
  <c r="BB63" i="32"/>
  <c r="BC63" i="32" s="1"/>
  <c r="BB119" i="32"/>
  <c r="BB146" i="32"/>
  <c r="BB186" i="32"/>
  <c r="BB214" i="32"/>
  <c r="BB314" i="32"/>
  <c r="BB28" i="32"/>
  <c r="BC28" i="32" s="1"/>
  <c r="BB250" i="32"/>
  <c r="BB53" i="32"/>
  <c r="BC53" i="32" s="1"/>
  <c r="BB65" i="32"/>
  <c r="BC65" i="32" s="1"/>
  <c r="BB107" i="32"/>
  <c r="BC107" i="32" s="1"/>
  <c r="BB136" i="32"/>
  <c r="BB148" i="32"/>
  <c r="BB163" i="32"/>
  <c r="BB176" i="32"/>
  <c r="BB202" i="32"/>
  <c r="BB216" i="32"/>
  <c r="BB251" i="32"/>
  <c r="BB265" i="32"/>
  <c r="BB277" i="32"/>
  <c r="BB290" i="32"/>
  <c r="BB302" i="32"/>
  <c r="BB329" i="32"/>
  <c r="BB129" i="32"/>
  <c r="BB188" i="32"/>
  <c r="BB144" i="32"/>
  <c r="BB89" i="32"/>
  <c r="BC89" i="32" s="1"/>
  <c r="BB17" i="32"/>
  <c r="BC17" i="32" s="1"/>
  <c r="BB30" i="32"/>
  <c r="BC30" i="32" s="1"/>
  <c r="BB42" i="32"/>
  <c r="BC42" i="32" s="1"/>
  <c r="BB66" i="32"/>
  <c r="BC66" i="32" s="1"/>
  <c r="BB81" i="32"/>
  <c r="BC81" i="32" s="1"/>
  <c r="BB95" i="32"/>
  <c r="BC95" i="32" s="1"/>
  <c r="BB122" i="32"/>
  <c r="BB137" i="32"/>
  <c r="BB177" i="32"/>
  <c r="BB189" i="32"/>
  <c r="BB203" i="32"/>
  <c r="BB217" i="32"/>
  <c r="BB227" i="32"/>
  <c r="BB239" i="32"/>
  <c r="BB266" i="32"/>
  <c r="BB278" i="32"/>
  <c r="BB291" i="32"/>
  <c r="BB303" i="32"/>
  <c r="BB317" i="32"/>
  <c r="BB330" i="32"/>
  <c r="BB16" i="32"/>
  <c r="BC16" i="32" s="1"/>
  <c r="BB74" i="32"/>
  <c r="BC74" i="32" s="1"/>
  <c r="BB98" i="32"/>
  <c r="BC98" i="32" s="1"/>
  <c r="BB263" i="32"/>
  <c r="BB305" i="32"/>
  <c r="BB48" i="32"/>
  <c r="BC48" i="32" s="1"/>
  <c r="BB102" i="32"/>
  <c r="BC102" i="32" s="1"/>
  <c r="BB130" i="32"/>
  <c r="BB158" i="32"/>
  <c r="BB209" i="32"/>
  <c r="BB245" i="32"/>
  <c r="BB88" i="32"/>
  <c r="BC88" i="32" s="1"/>
  <c r="BB145" i="32"/>
  <c r="BB324" i="32"/>
  <c r="BB152" i="32"/>
  <c r="BB103" i="32"/>
  <c r="BC103" i="32" s="1"/>
  <c r="BB197" i="32"/>
  <c r="BB234" i="32"/>
  <c r="BB311" i="32"/>
  <c r="BB35" i="32"/>
  <c r="BC35" i="32" s="1"/>
  <c r="BB38" i="32"/>
  <c r="BC38" i="32" s="1"/>
  <c r="BB274" i="32"/>
  <c r="BB87" i="32"/>
  <c r="BC87" i="32" s="1"/>
  <c r="BB310" i="32"/>
  <c r="BB61" i="32"/>
  <c r="BC61" i="32" s="1"/>
  <c r="BB261" i="32"/>
  <c r="BB55" i="32"/>
  <c r="BC55" i="32" s="1"/>
  <c r="BB67" i="32"/>
  <c r="BC67" i="32" s="1"/>
  <c r="BB96" i="32"/>
  <c r="BC96" i="32" s="1"/>
  <c r="BB109" i="32"/>
  <c r="BC109" i="32" s="1"/>
  <c r="BB123" i="32"/>
  <c r="BB150" i="32"/>
  <c r="BB165" i="32"/>
  <c r="BB178" i="32"/>
  <c r="BB240" i="32"/>
  <c r="BB253" i="32"/>
  <c r="BB292" i="32"/>
  <c r="BB304" i="32"/>
  <c r="BB318" i="32"/>
  <c r="BB331" i="32"/>
  <c r="BB195" i="32"/>
  <c r="BB232" i="32"/>
  <c r="BB267" i="32"/>
  <c r="BB23" i="32"/>
  <c r="BC23" i="32" s="1"/>
  <c r="BB309" i="32"/>
  <c r="BB19" i="32"/>
  <c r="BC19" i="32" s="1"/>
  <c r="BB32" i="32"/>
  <c r="BC32" i="32" s="1"/>
  <c r="BB44" i="32"/>
  <c r="BC44" i="32" s="1"/>
  <c r="BB56" i="32"/>
  <c r="BC56" i="32" s="1"/>
  <c r="BB83" i="32"/>
  <c r="BC83" i="32" s="1"/>
  <c r="BB110" i="32"/>
  <c r="BC110" i="32" s="1"/>
  <c r="BB126" i="32"/>
  <c r="BB151" i="32"/>
  <c r="BB166" i="32"/>
  <c r="BB192" i="32"/>
  <c r="BB205" i="32"/>
  <c r="BB229" i="32"/>
  <c r="BB241" i="32"/>
  <c r="BB255" i="32"/>
  <c r="BB268" i="32"/>
  <c r="BB280" i="32"/>
  <c r="BB293" i="32"/>
  <c r="BB319" i="32"/>
  <c r="BB332" i="32"/>
  <c r="BB20" i="32"/>
  <c r="BC20" i="32" s="1"/>
  <c r="BB78" i="32"/>
  <c r="BC78" i="32" s="1"/>
  <c r="BB199" i="32"/>
  <c r="BB236" i="32"/>
  <c r="BB272" i="32"/>
  <c r="BB7" i="32"/>
  <c r="BC7" i="32" s="1"/>
  <c r="BB33" i="32"/>
  <c r="BC33" i="32" s="1"/>
  <c r="BB70" i="32"/>
  <c r="BC70" i="32" s="1"/>
  <c r="BB111" i="32"/>
  <c r="BC111" i="32" s="1"/>
  <c r="BB127" i="32"/>
  <c r="BB140" i="32"/>
  <c r="AY154" i="32"/>
  <c r="BB154" i="32"/>
  <c r="BB180" i="32"/>
  <c r="BB193" i="32"/>
  <c r="BB206" i="32"/>
  <c r="BB220" i="32"/>
  <c r="BB230" i="32"/>
  <c r="BB269" i="32"/>
  <c r="BB284" i="32"/>
  <c r="BB294" i="32"/>
  <c r="BB306" i="32"/>
  <c r="BB321" i="32"/>
  <c r="BB333" i="32"/>
  <c r="BB276" i="32"/>
  <c r="BB315" i="32"/>
  <c r="BB36" i="32"/>
  <c r="BC36" i="32" s="1"/>
  <c r="BB75" i="32"/>
  <c r="BC75" i="32" s="1"/>
  <c r="BB115" i="32"/>
  <c r="BC115" i="32" s="1"/>
  <c r="BB143" i="32"/>
  <c r="BB223" i="32"/>
  <c r="BB281" i="32"/>
  <c r="BB37" i="32"/>
  <c r="BC37" i="32" s="1"/>
  <c r="BB76" i="32"/>
  <c r="BC76" i="32" s="1"/>
  <c r="BB132" i="32"/>
  <c r="BB172" i="32"/>
  <c r="BB191" i="32"/>
  <c r="BB64" i="32"/>
  <c r="BC64" i="32" s="1"/>
  <c r="BB149" i="32"/>
  <c r="BB175" i="32"/>
  <c r="BB215" i="32"/>
  <c r="BB62" i="32"/>
  <c r="BC62" i="32" s="1"/>
  <c r="BB173" i="32"/>
  <c r="BB235" i="32"/>
  <c r="BB262" i="32"/>
  <c r="BB312" i="32"/>
  <c r="BB179" i="32"/>
  <c r="BB43" i="32"/>
  <c r="BC43" i="32" s="1"/>
  <c r="BB82" i="32"/>
  <c r="BC82" i="32" s="1"/>
  <c r="BB218" i="32"/>
  <c r="BB34" i="32"/>
  <c r="BC34" i="32" s="1"/>
  <c r="BB46" i="32"/>
  <c r="BC46" i="32" s="1"/>
  <c r="BB85" i="32"/>
  <c r="BC85" i="32" s="1"/>
  <c r="BB112" i="32"/>
  <c r="BC112" i="32" s="1"/>
  <c r="BB128" i="32"/>
  <c r="BB194" i="32"/>
  <c r="BB207" i="32"/>
  <c r="BB231" i="32"/>
  <c r="BB243" i="32"/>
  <c r="BB257" i="32"/>
  <c r="BB270" i="32"/>
  <c r="BB322" i="32"/>
  <c r="BB84" i="32"/>
  <c r="BC84" i="32" s="1"/>
  <c r="BB104" i="32"/>
  <c r="BC104" i="32" s="1"/>
  <c r="BB168" i="32"/>
  <c r="BB204" i="32"/>
  <c r="BB242" i="32"/>
  <c r="BB24" i="32"/>
  <c r="BC24" i="32" s="1"/>
  <c r="BB196" i="32"/>
  <c r="AY11" i="32"/>
  <c r="BB11" i="32"/>
  <c r="BC11" i="32" s="1"/>
  <c r="BB210" i="32"/>
  <c r="BB198" i="32"/>
  <c r="BB21" i="32"/>
  <c r="BC21" i="32" s="1"/>
  <c r="BB73" i="32"/>
  <c r="BC73" i="32" s="1"/>
  <c r="BB59" i="32"/>
  <c r="BC59" i="32" s="1"/>
  <c r="BB156" i="32"/>
  <c r="BB169" i="32"/>
  <c r="BB182" i="32"/>
  <c r="BB222" i="32"/>
  <c r="BB244" i="32"/>
  <c r="BB271" i="32"/>
  <c r="BB283" i="32"/>
  <c r="BB296" i="32"/>
  <c r="BB308" i="32"/>
  <c r="BB323" i="32"/>
  <c r="BB335" i="32"/>
  <c r="BB58" i="32"/>
  <c r="BC58" i="32" s="1"/>
  <c r="BB208" i="32"/>
  <c r="BB282" i="32"/>
  <c r="BB60" i="32"/>
  <c r="BC60" i="32" s="1"/>
  <c r="BB101" i="32"/>
  <c r="BC101" i="32" s="1"/>
  <c r="BB12" i="32"/>
  <c r="BC12" i="32" s="1"/>
  <c r="BB50" i="32"/>
  <c r="BC50" i="32" s="1"/>
  <c r="BB77" i="32"/>
  <c r="BC77" i="32" s="1"/>
  <c r="BB170" i="32"/>
  <c r="BB221" i="32"/>
  <c r="BB51" i="32"/>
  <c r="BC51" i="32" s="1"/>
  <c r="BB90" i="32"/>
  <c r="BC90" i="32" s="1"/>
  <c r="BB320" i="32"/>
  <c r="BB160" i="32"/>
  <c r="BB80" i="32"/>
  <c r="BC80" i="32" s="1"/>
  <c r="BB93" i="32"/>
  <c r="BC93" i="32" s="1"/>
  <c r="BB161" i="32"/>
  <c r="BB285" i="32"/>
  <c r="BB297" i="32"/>
  <c r="BB31" i="32"/>
  <c r="BC31" i="32" s="1"/>
  <c r="BB249" i="32"/>
  <c r="BB336" i="32"/>
  <c r="BB138" i="32"/>
  <c r="BB201" i="32"/>
  <c r="BB288" i="32"/>
  <c r="BB57" i="32"/>
  <c r="BC57" i="32" s="1"/>
  <c r="BB97" i="32"/>
  <c r="BC97" i="32" s="1"/>
  <c r="BB190" i="32"/>
  <c r="BB301" i="32"/>
  <c r="BB326" i="32"/>
  <c r="AY8" i="32"/>
  <c r="BB22" i="32"/>
  <c r="BC22" i="32" s="1"/>
  <c r="BB258" i="32"/>
  <c r="BC8" i="32"/>
  <c r="BC25" i="32"/>
  <c r="BC41" i="32"/>
  <c r="BC13" i="32"/>
  <c r="BC9" i="32"/>
  <c r="BC18" i="32"/>
  <c r="BC113" i="32"/>
  <c r="BC29" i="32"/>
  <c r="BB92" i="32"/>
  <c r="BC92" i="32" s="1"/>
  <c r="BB71" i="32"/>
  <c r="BC71" i="32" s="1"/>
  <c r="BB72" i="32"/>
  <c r="BC72" i="32" s="1"/>
  <c r="BB69" i="32"/>
  <c r="BC69" i="32" s="1"/>
  <c r="BB99" i="32"/>
  <c r="BC99" i="32" s="1"/>
  <c r="BB114" i="32"/>
  <c r="BC114" i="32" s="1"/>
  <c r="BB125" i="32"/>
  <c r="BB153" i="32"/>
  <c r="BB157" i="32"/>
  <c r="BB171" i="32"/>
  <c r="N18" i="24" l="1"/>
  <c r="K68" i="32"/>
  <c r="K67" i="32"/>
  <c r="K66" i="32"/>
  <c r="K65" i="32"/>
  <c r="K64" i="32"/>
  <c r="K63" i="32"/>
  <c r="K62" i="32"/>
  <c r="K61" i="32"/>
  <c r="K60" i="32"/>
  <c r="K59" i="32"/>
  <c r="K58" i="32"/>
  <c r="K57" i="32"/>
  <c r="K56" i="32"/>
  <c r="K55" i="32"/>
  <c r="K54" i="32"/>
  <c r="K53" i="32"/>
  <c r="K52" i="32"/>
  <c r="K51" i="32"/>
  <c r="K50" i="32"/>
  <c r="K49" i="32"/>
  <c r="K48" i="32"/>
  <c r="K47" i="32"/>
  <c r="K46" i="32"/>
  <c r="K45" i="32"/>
  <c r="K44" i="32"/>
  <c r="K43" i="32"/>
  <c r="K42" i="32"/>
  <c r="K41" i="32"/>
  <c r="K40" i="32"/>
  <c r="K39" i="32"/>
  <c r="K38" i="32"/>
  <c r="K37" i="32"/>
  <c r="K36" i="32"/>
  <c r="K35" i="32"/>
  <c r="K34" i="32"/>
  <c r="K33" i="32"/>
  <c r="K32" i="32"/>
  <c r="K31" i="32"/>
  <c r="K30" i="32"/>
  <c r="K29" i="32"/>
  <c r="K28" i="32"/>
  <c r="K27" i="32"/>
  <c r="K26" i="32"/>
  <c r="K25" i="32"/>
  <c r="K24" i="32"/>
  <c r="K23" i="32"/>
  <c r="K22" i="32"/>
  <c r="K21" i="32"/>
  <c r="K20" i="32"/>
  <c r="K19" i="32"/>
  <c r="K18" i="32"/>
  <c r="K17" i="32"/>
  <c r="K16" i="32"/>
  <c r="K15" i="32"/>
  <c r="K14" i="32"/>
  <c r="K13" i="32"/>
  <c r="K12" i="32"/>
  <c r="K11" i="32"/>
  <c r="K10" i="32"/>
  <c r="K9" i="32"/>
  <c r="K8" i="32"/>
  <c r="K7" i="32"/>
  <c r="C1" i="55" l="1"/>
  <c r="B5" i="55" s="1"/>
  <c r="C25" i="55" l="1"/>
  <c r="C17" i="55"/>
  <c r="C9" i="55"/>
  <c r="C6" i="55"/>
  <c r="C10" i="55"/>
  <c r="C24" i="55"/>
  <c r="C16" i="55"/>
  <c r="C8" i="55"/>
  <c r="C14" i="55"/>
  <c r="C23" i="55"/>
  <c r="C15" i="55"/>
  <c r="C7" i="55"/>
  <c r="C22" i="55"/>
  <c r="C11" i="55"/>
  <c r="C18" i="55"/>
  <c r="C21" i="55"/>
  <c r="C13" i="55"/>
  <c r="C20" i="55"/>
  <c r="C12" i="55"/>
  <c r="C19" i="55"/>
  <c r="G17" i="56"/>
  <c r="V332" i="50"/>
  <c r="X332" i="50" s="1"/>
  <c r="Z332" i="50" s="1"/>
  <c r="AB332" i="50" s="1"/>
  <c r="AD332" i="50" s="1"/>
  <c r="V324" i="50"/>
  <c r="X324" i="50" s="1"/>
  <c r="Z324" i="50" s="1"/>
  <c r="AB324" i="50" s="1"/>
  <c r="AD324" i="50" s="1"/>
  <c r="V316" i="50"/>
  <c r="X316" i="50" s="1"/>
  <c r="Z316" i="50" s="1"/>
  <c r="AB316" i="50" s="1"/>
  <c r="AD316" i="50" s="1"/>
  <c r="V308" i="50"/>
  <c r="X308" i="50" s="1"/>
  <c r="Z308" i="50" s="1"/>
  <c r="AB308" i="50" s="1"/>
  <c r="AD308" i="50" s="1"/>
  <c r="V300" i="50"/>
  <c r="X300" i="50" s="1"/>
  <c r="Z300" i="50" s="1"/>
  <c r="AB300" i="50" s="1"/>
  <c r="AD300" i="50" s="1"/>
  <c r="V292" i="50"/>
  <c r="X292" i="50" s="1"/>
  <c r="Z292" i="50" s="1"/>
  <c r="AB292" i="50" s="1"/>
  <c r="AD292" i="50" s="1"/>
  <c r="V283" i="50"/>
  <c r="X283" i="50" s="1"/>
  <c r="Z283" i="50" s="1"/>
  <c r="AB283" i="50" s="1"/>
  <c r="AD283" i="50" s="1"/>
  <c r="V276" i="50"/>
  <c r="X276" i="50" s="1"/>
  <c r="Z276" i="50" s="1"/>
  <c r="AB276" i="50" s="1"/>
  <c r="AD276" i="50" s="1"/>
  <c r="V268" i="50"/>
  <c r="X268" i="50" s="1"/>
  <c r="Z268" i="50" s="1"/>
  <c r="AB268" i="50" s="1"/>
  <c r="AD268" i="50" s="1"/>
  <c r="V260" i="50"/>
  <c r="X260" i="50" s="1"/>
  <c r="Z260" i="50" s="1"/>
  <c r="AB260" i="50" s="1"/>
  <c r="AD260" i="50" s="1"/>
  <c r="V252" i="50"/>
  <c r="X252" i="50" s="1"/>
  <c r="Z252" i="50" s="1"/>
  <c r="AB252" i="50" s="1"/>
  <c r="AD252" i="50" s="1"/>
  <c r="V244" i="50"/>
  <c r="X244" i="50" s="1"/>
  <c r="Z244" i="50" s="1"/>
  <c r="AB244" i="50" s="1"/>
  <c r="AD244" i="50" s="1"/>
  <c r="V236" i="50"/>
  <c r="X236" i="50" s="1"/>
  <c r="Z236" i="50" s="1"/>
  <c r="AB236" i="50" s="1"/>
  <c r="AD236" i="50" s="1"/>
  <c r="V228" i="50"/>
  <c r="X228" i="50" s="1"/>
  <c r="Z228" i="50" s="1"/>
  <c r="AB228" i="50" s="1"/>
  <c r="AD228" i="50" s="1"/>
  <c r="V222" i="50"/>
  <c r="X222" i="50" s="1"/>
  <c r="Z222" i="50" s="1"/>
  <c r="AB222" i="50" s="1"/>
  <c r="AD222" i="50" s="1"/>
  <c r="V214" i="50"/>
  <c r="X214" i="50" s="1"/>
  <c r="Z214" i="50" s="1"/>
  <c r="AB214" i="50" s="1"/>
  <c r="AD214" i="50" s="1"/>
  <c r="V206" i="50"/>
  <c r="X206" i="50" s="1"/>
  <c r="Z206" i="50" s="1"/>
  <c r="AB206" i="50" s="1"/>
  <c r="AD206" i="50" s="1"/>
  <c r="V198" i="50"/>
  <c r="X198" i="50" s="1"/>
  <c r="Z198" i="50" s="1"/>
  <c r="AB198" i="50" s="1"/>
  <c r="AD198" i="50" s="1"/>
  <c r="V190" i="50"/>
  <c r="X190" i="50" s="1"/>
  <c r="Z190" i="50" s="1"/>
  <c r="AB190" i="50" s="1"/>
  <c r="AD190" i="50" s="1"/>
  <c r="V182" i="50"/>
  <c r="X182" i="50" s="1"/>
  <c r="Z182" i="50" s="1"/>
  <c r="AB182" i="50" s="1"/>
  <c r="AD182" i="50" s="1"/>
  <c r="V174" i="50"/>
  <c r="X174" i="50" s="1"/>
  <c r="Z174" i="50" s="1"/>
  <c r="AB174" i="50" s="1"/>
  <c r="AD174" i="50" s="1"/>
  <c r="V166" i="50"/>
  <c r="X166" i="50" s="1"/>
  <c r="Z166" i="50" s="1"/>
  <c r="AB166" i="50" s="1"/>
  <c r="AD166" i="50" s="1"/>
  <c r="V158" i="50"/>
  <c r="X158" i="50" s="1"/>
  <c r="Z158" i="50" s="1"/>
  <c r="AB158" i="50" s="1"/>
  <c r="AD158" i="50" s="1"/>
  <c r="V150" i="50"/>
  <c r="X150" i="50" s="1"/>
  <c r="Z150" i="50" s="1"/>
  <c r="AB150" i="50" s="1"/>
  <c r="AD150" i="50" s="1"/>
  <c r="V142" i="50"/>
  <c r="X142" i="50" s="1"/>
  <c r="Z142" i="50" s="1"/>
  <c r="AB142" i="50" s="1"/>
  <c r="AD142" i="50" s="1"/>
  <c r="V134" i="50"/>
  <c r="X134" i="50" s="1"/>
  <c r="Z134" i="50" s="1"/>
  <c r="AB134" i="50" s="1"/>
  <c r="AD134" i="50" s="1"/>
  <c r="V126" i="50"/>
  <c r="X126" i="50" s="1"/>
  <c r="Z126" i="50" s="1"/>
  <c r="AB126" i="50" s="1"/>
  <c r="AD126" i="50" s="1"/>
  <c r="V117" i="50"/>
  <c r="X117" i="50" s="1"/>
  <c r="Z117" i="50" s="1"/>
  <c r="AB117" i="50" s="1"/>
  <c r="AD117" i="50" s="1"/>
  <c r="V113" i="50"/>
  <c r="X113" i="50" s="1"/>
  <c r="Z113" i="50" s="1"/>
  <c r="AB113" i="50" s="1"/>
  <c r="AD113" i="50" s="1"/>
  <c r="V109" i="50"/>
  <c r="X109" i="50" s="1"/>
  <c r="Z109" i="50" s="1"/>
  <c r="AB109" i="50" s="1"/>
  <c r="AD109" i="50" s="1"/>
  <c r="V105" i="50"/>
  <c r="X105" i="50" s="1"/>
  <c r="Z105" i="50" s="1"/>
  <c r="AB105" i="50" s="1"/>
  <c r="AD105" i="50" s="1"/>
  <c r="V101" i="50"/>
  <c r="X101" i="50" s="1"/>
  <c r="Z101" i="50" s="1"/>
  <c r="AB101" i="50" s="1"/>
  <c r="AD101" i="50" s="1"/>
  <c r="V97" i="50"/>
  <c r="X97" i="50" s="1"/>
  <c r="Z97" i="50" s="1"/>
  <c r="AB97" i="50" s="1"/>
  <c r="AD97" i="50" s="1"/>
  <c r="V93" i="50"/>
  <c r="X93" i="50" s="1"/>
  <c r="Z93" i="50" s="1"/>
  <c r="AB93" i="50" s="1"/>
  <c r="AD93" i="50" s="1"/>
  <c r="V89" i="50"/>
  <c r="X89" i="50" s="1"/>
  <c r="Z89" i="50" s="1"/>
  <c r="AB89" i="50" s="1"/>
  <c r="AD89" i="50" s="1"/>
  <c r="V85" i="50"/>
  <c r="X85" i="50" s="1"/>
  <c r="Z85" i="50" s="1"/>
  <c r="AB85" i="50" s="1"/>
  <c r="AD85" i="50" s="1"/>
  <c r="V81" i="50"/>
  <c r="X81" i="50" s="1"/>
  <c r="Z81" i="50" s="1"/>
  <c r="AB81" i="50" s="1"/>
  <c r="AD81" i="50" s="1"/>
  <c r="V77" i="50"/>
  <c r="X77" i="50" s="1"/>
  <c r="Z77" i="50" s="1"/>
  <c r="AB77" i="50" s="1"/>
  <c r="AD77" i="50" s="1"/>
  <c r="V73" i="50"/>
  <c r="X73" i="50" s="1"/>
  <c r="Z73" i="50" s="1"/>
  <c r="AB73" i="50" s="1"/>
  <c r="AD73" i="50" s="1"/>
  <c r="V69" i="50"/>
  <c r="X69" i="50" s="1"/>
  <c r="Z69" i="50" s="1"/>
  <c r="AB69" i="50" s="1"/>
  <c r="AD69" i="50" s="1"/>
  <c r="V65" i="50"/>
  <c r="X65" i="50" s="1"/>
  <c r="Z65" i="50" s="1"/>
  <c r="AB65" i="50" s="1"/>
  <c r="AD65" i="50" s="1"/>
  <c r="V61" i="50"/>
  <c r="X61" i="50" s="1"/>
  <c r="Z61" i="50" s="1"/>
  <c r="AB61" i="50" s="1"/>
  <c r="AD61" i="50" s="1"/>
  <c r="V57" i="50"/>
  <c r="X57" i="50" s="1"/>
  <c r="Z57" i="50" s="1"/>
  <c r="AB57" i="50" s="1"/>
  <c r="AD57" i="50" s="1"/>
  <c r="V53" i="50"/>
  <c r="X53" i="50" s="1"/>
  <c r="Z53" i="50" s="1"/>
  <c r="AB53" i="50" s="1"/>
  <c r="AD53" i="50" s="1"/>
  <c r="V49" i="50"/>
  <c r="X49" i="50" s="1"/>
  <c r="Z49" i="50" s="1"/>
  <c r="AB49" i="50" s="1"/>
  <c r="AD49" i="50" s="1"/>
  <c r="V45" i="50"/>
  <c r="X45" i="50" s="1"/>
  <c r="Z45" i="50" s="1"/>
  <c r="AB45" i="50" s="1"/>
  <c r="AD45" i="50" s="1"/>
  <c r="V41" i="50"/>
  <c r="X41" i="50" s="1"/>
  <c r="Z41" i="50" s="1"/>
  <c r="AB41" i="50" s="1"/>
  <c r="AD41" i="50" s="1"/>
  <c r="V37" i="50"/>
  <c r="X37" i="50" s="1"/>
  <c r="Z37" i="50" s="1"/>
  <c r="AB37" i="50" s="1"/>
  <c r="AD37" i="50" s="1"/>
  <c r="V33" i="50"/>
  <c r="X33" i="50" s="1"/>
  <c r="Z33" i="50" s="1"/>
  <c r="AB33" i="50" s="1"/>
  <c r="AD33" i="50" s="1"/>
  <c r="V29" i="50"/>
  <c r="X29" i="50" s="1"/>
  <c r="Z29" i="50" s="1"/>
  <c r="AB29" i="50" s="1"/>
  <c r="AD29" i="50" s="1"/>
  <c r="V25" i="50"/>
  <c r="X25" i="50" s="1"/>
  <c r="Z25" i="50" s="1"/>
  <c r="AB25" i="50" s="1"/>
  <c r="AD25" i="50" s="1"/>
  <c r="V21" i="50"/>
  <c r="X21" i="50" s="1"/>
  <c r="Z21" i="50" s="1"/>
  <c r="AB21" i="50" s="1"/>
  <c r="AD21" i="50" s="1"/>
  <c r="V17" i="50"/>
  <c r="X17" i="50" s="1"/>
  <c r="Z17" i="50" s="1"/>
  <c r="AB17" i="50" s="1"/>
  <c r="AD17" i="50" s="1"/>
  <c r="V13" i="50"/>
  <c r="X13" i="50" s="1"/>
  <c r="Z13" i="50" s="1"/>
  <c r="AB13" i="50" s="1"/>
  <c r="AD13" i="50" s="1"/>
  <c r="V9" i="50"/>
  <c r="X9" i="50" s="1"/>
  <c r="Z9" i="50" s="1"/>
  <c r="AB9" i="50" s="1"/>
  <c r="AD9" i="50" s="1"/>
  <c r="V8" i="50"/>
  <c r="X8" i="50" s="1"/>
  <c r="Z8" i="50" s="1"/>
  <c r="V337" i="50"/>
  <c r="X337" i="50" s="1"/>
  <c r="Z337" i="50" s="1"/>
  <c r="AB337" i="50" s="1"/>
  <c r="AD337" i="50" s="1"/>
  <c r="V336" i="50"/>
  <c r="X336" i="50" s="1"/>
  <c r="Z336" i="50" s="1"/>
  <c r="AB336" i="50" s="1"/>
  <c r="AD336" i="50" s="1"/>
  <c r="V335" i="50"/>
  <c r="X335" i="50" s="1"/>
  <c r="Z335" i="50" s="1"/>
  <c r="AB335" i="50" s="1"/>
  <c r="AD335" i="50" s="1"/>
  <c r="V334" i="50"/>
  <c r="X334" i="50" s="1"/>
  <c r="Z334" i="50" s="1"/>
  <c r="AB334" i="50" s="1"/>
  <c r="AD334" i="50" s="1"/>
  <c r="V333" i="50"/>
  <c r="X333" i="50" s="1"/>
  <c r="Z333" i="50" s="1"/>
  <c r="AB333" i="50" s="1"/>
  <c r="AD333" i="50" s="1"/>
  <c r="V331" i="50"/>
  <c r="X331" i="50" s="1"/>
  <c r="Z331" i="50" s="1"/>
  <c r="AB331" i="50" s="1"/>
  <c r="AD331" i="50" s="1"/>
  <c r="V330" i="50"/>
  <c r="X330" i="50" s="1"/>
  <c r="Z330" i="50" s="1"/>
  <c r="AB330" i="50" s="1"/>
  <c r="AD330" i="50" s="1"/>
  <c r="V329" i="50"/>
  <c r="X329" i="50" s="1"/>
  <c r="Z329" i="50" s="1"/>
  <c r="AB329" i="50" s="1"/>
  <c r="AD329" i="50" s="1"/>
  <c r="V328" i="50"/>
  <c r="X328" i="50" s="1"/>
  <c r="Z328" i="50" s="1"/>
  <c r="AB328" i="50" s="1"/>
  <c r="AD328" i="50" s="1"/>
  <c r="V327" i="50"/>
  <c r="X327" i="50" s="1"/>
  <c r="Z327" i="50" s="1"/>
  <c r="AB327" i="50" s="1"/>
  <c r="AD327" i="50" s="1"/>
  <c r="V326" i="50"/>
  <c r="X326" i="50" s="1"/>
  <c r="Z326" i="50" s="1"/>
  <c r="AB326" i="50" s="1"/>
  <c r="AD326" i="50" s="1"/>
  <c r="V325" i="50"/>
  <c r="X325" i="50" s="1"/>
  <c r="Z325" i="50" s="1"/>
  <c r="AB325" i="50" s="1"/>
  <c r="AD325" i="50" s="1"/>
  <c r="V323" i="50"/>
  <c r="X323" i="50" s="1"/>
  <c r="Z323" i="50" s="1"/>
  <c r="AB323" i="50" s="1"/>
  <c r="AD323" i="50" s="1"/>
  <c r="V322" i="50"/>
  <c r="X322" i="50" s="1"/>
  <c r="Z322" i="50" s="1"/>
  <c r="AB322" i="50" s="1"/>
  <c r="AD322" i="50" s="1"/>
  <c r="V321" i="50"/>
  <c r="X321" i="50" s="1"/>
  <c r="Z321" i="50" s="1"/>
  <c r="AB321" i="50" s="1"/>
  <c r="AD321" i="50" s="1"/>
  <c r="V320" i="50"/>
  <c r="X320" i="50" s="1"/>
  <c r="Z320" i="50" s="1"/>
  <c r="AB320" i="50" s="1"/>
  <c r="AD320" i="50" s="1"/>
  <c r="V319" i="50"/>
  <c r="X319" i="50" s="1"/>
  <c r="Z319" i="50" s="1"/>
  <c r="AB319" i="50" s="1"/>
  <c r="AD319" i="50" s="1"/>
  <c r="V318" i="50"/>
  <c r="X318" i="50" s="1"/>
  <c r="Z318" i="50" s="1"/>
  <c r="AB318" i="50" s="1"/>
  <c r="AD318" i="50" s="1"/>
  <c r="V317" i="50"/>
  <c r="X317" i="50" s="1"/>
  <c r="Z317" i="50" s="1"/>
  <c r="AB317" i="50" s="1"/>
  <c r="AD317" i="50" s="1"/>
  <c r="V315" i="50"/>
  <c r="X315" i="50" s="1"/>
  <c r="Z315" i="50" s="1"/>
  <c r="AB315" i="50" s="1"/>
  <c r="AD315" i="50" s="1"/>
  <c r="V314" i="50"/>
  <c r="X314" i="50" s="1"/>
  <c r="Z314" i="50" s="1"/>
  <c r="AB314" i="50" s="1"/>
  <c r="AD314" i="50" s="1"/>
  <c r="V313" i="50"/>
  <c r="X313" i="50" s="1"/>
  <c r="Z313" i="50" s="1"/>
  <c r="AB313" i="50" s="1"/>
  <c r="AD313" i="50" s="1"/>
  <c r="V312" i="50"/>
  <c r="X312" i="50" s="1"/>
  <c r="Z312" i="50" s="1"/>
  <c r="AB312" i="50" s="1"/>
  <c r="AD312" i="50" s="1"/>
  <c r="V311" i="50"/>
  <c r="X311" i="50" s="1"/>
  <c r="Z311" i="50" s="1"/>
  <c r="AB311" i="50" s="1"/>
  <c r="AD311" i="50" s="1"/>
  <c r="V310" i="50"/>
  <c r="X310" i="50" s="1"/>
  <c r="Z310" i="50" s="1"/>
  <c r="AB310" i="50" s="1"/>
  <c r="AD310" i="50" s="1"/>
  <c r="V309" i="50"/>
  <c r="X309" i="50" s="1"/>
  <c r="Z309" i="50" s="1"/>
  <c r="AB309" i="50" s="1"/>
  <c r="AD309" i="50" s="1"/>
  <c r="V307" i="50"/>
  <c r="X307" i="50" s="1"/>
  <c r="Z307" i="50" s="1"/>
  <c r="AB307" i="50" s="1"/>
  <c r="AD307" i="50" s="1"/>
  <c r="V306" i="50"/>
  <c r="X306" i="50" s="1"/>
  <c r="Z306" i="50" s="1"/>
  <c r="AB306" i="50" s="1"/>
  <c r="AD306" i="50" s="1"/>
  <c r="V305" i="50"/>
  <c r="X305" i="50" s="1"/>
  <c r="Z305" i="50" s="1"/>
  <c r="AB305" i="50" s="1"/>
  <c r="AD305" i="50" s="1"/>
  <c r="V304" i="50"/>
  <c r="X304" i="50" s="1"/>
  <c r="Z304" i="50" s="1"/>
  <c r="AB304" i="50" s="1"/>
  <c r="AD304" i="50" s="1"/>
  <c r="V303" i="50"/>
  <c r="X303" i="50" s="1"/>
  <c r="Z303" i="50" s="1"/>
  <c r="AB303" i="50" s="1"/>
  <c r="AD303" i="50" s="1"/>
  <c r="V302" i="50"/>
  <c r="X302" i="50" s="1"/>
  <c r="Z302" i="50" s="1"/>
  <c r="AB302" i="50" s="1"/>
  <c r="AD302" i="50" s="1"/>
  <c r="V301" i="50"/>
  <c r="X301" i="50" s="1"/>
  <c r="Z301" i="50" s="1"/>
  <c r="AB301" i="50" s="1"/>
  <c r="AD301" i="50" s="1"/>
  <c r="V299" i="50"/>
  <c r="X299" i="50" s="1"/>
  <c r="Z299" i="50" s="1"/>
  <c r="AB299" i="50" s="1"/>
  <c r="AD299" i="50" s="1"/>
  <c r="V298" i="50"/>
  <c r="X298" i="50" s="1"/>
  <c r="Z298" i="50" s="1"/>
  <c r="AB298" i="50" s="1"/>
  <c r="AD298" i="50" s="1"/>
  <c r="V297" i="50"/>
  <c r="X297" i="50" s="1"/>
  <c r="Z297" i="50" s="1"/>
  <c r="AB297" i="50" s="1"/>
  <c r="AD297" i="50" s="1"/>
  <c r="V296" i="50"/>
  <c r="X296" i="50" s="1"/>
  <c r="Z296" i="50" s="1"/>
  <c r="AB296" i="50" s="1"/>
  <c r="AD296" i="50" s="1"/>
  <c r="V295" i="50"/>
  <c r="X295" i="50" s="1"/>
  <c r="Z295" i="50" s="1"/>
  <c r="AB295" i="50" s="1"/>
  <c r="AD295" i="50" s="1"/>
  <c r="V294" i="50"/>
  <c r="X294" i="50" s="1"/>
  <c r="Z294" i="50" s="1"/>
  <c r="AB294" i="50" s="1"/>
  <c r="AD294" i="50" s="1"/>
  <c r="V293" i="50"/>
  <c r="X293" i="50" s="1"/>
  <c r="Z293" i="50" s="1"/>
  <c r="AB293" i="50" s="1"/>
  <c r="AD293" i="50" s="1"/>
  <c r="V291" i="50"/>
  <c r="X291" i="50" s="1"/>
  <c r="Z291" i="50" s="1"/>
  <c r="AB291" i="50" s="1"/>
  <c r="AD291" i="50" s="1"/>
  <c r="V290" i="50"/>
  <c r="X290" i="50" s="1"/>
  <c r="Z290" i="50" s="1"/>
  <c r="AB290" i="50" s="1"/>
  <c r="AD290" i="50" s="1"/>
  <c r="V289" i="50"/>
  <c r="X289" i="50" s="1"/>
  <c r="Z289" i="50" s="1"/>
  <c r="AB289" i="50" s="1"/>
  <c r="AD289" i="50" s="1"/>
  <c r="V288" i="50"/>
  <c r="X288" i="50" s="1"/>
  <c r="Z288" i="50" s="1"/>
  <c r="AB288" i="50" s="1"/>
  <c r="AD288" i="50" s="1"/>
  <c r="V287" i="50"/>
  <c r="X287" i="50" s="1"/>
  <c r="Z287" i="50" s="1"/>
  <c r="AB287" i="50" s="1"/>
  <c r="AD287" i="50" s="1"/>
  <c r="V286" i="50"/>
  <c r="X286" i="50" s="1"/>
  <c r="Z286" i="50" s="1"/>
  <c r="AB286" i="50" s="1"/>
  <c r="AD286" i="50" s="1"/>
  <c r="V284" i="50"/>
  <c r="X284" i="50" s="1"/>
  <c r="Z284" i="50" s="1"/>
  <c r="AB284" i="50" s="1"/>
  <c r="AD284" i="50" s="1"/>
  <c r="V282" i="50"/>
  <c r="X282" i="50" s="1"/>
  <c r="Z282" i="50" s="1"/>
  <c r="AB282" i="50" s="1"/>
  <c r="AD282" i="50" s="1"/>
  <c r="V285" i="50"/>
  <c r="X285" i="50" s="1"/>
  <c r="Z285" i="50" s="1"/>
  <c r="AB285" i="50" s="1"/>
  <c r="AD285" i="50" s="1"/>
  <c r="V281" i="50"/>
  <c r="X281" i="50" s="1"/>
  <c r="Z281" i="50" s="1"/>
  <c r="AB281" i="50" s="1"/>
  <c r="AD281" i="50" s="1"/>
  <c r="V280" i="50"/>
  <c r="X280" i="50" s="1"/>
  <c r="Z280" i="50" s="1"/>
  <c r="AB280" i="50" s="1"/>
  <c r="AD280" i="50" s="1"/>
  <c r="V279" i="50"/>
  <c r="X279" i="50" s="1"/>
  <c r="Z279" i="50" s="1"/>
  <c r="AB279" i="50" s="1"/>
  <c r="AD279" i="50" s="1"/>
  <c r="V278" i="50"/>
  <c r="X278" i="50" s="1"/>
  <c r="Z278" i="50" s="1"/>
  <c r="AB278" i="50" s="1"/>
  <c r="AD278" i="50" s="1"/>
  <c r="V277" i="50"/>
  <c r="X277" i="50" s="1"/>
  <c r="Z277" i="50" s="1"/>
  <c r="AB277" i="50" s="1"/>
  <c r="AD277" i="50" s="1"/>
  <c r="V275" i="50"/>
  <c r="X275" i="50" s="1"/>
  <c r="Z275" i="50" s="1"/>
  <c r="AB275" i="50" s="1"/>
  <c r="AD275" i="50" s="1"/>
  <c r="V274" i="50"/>
  <c r="X274" i="50" s="1"/>
  <c r="Z274" i="50" s="1"/>
  <c r="AB274" i="50" s="1"/>
  <c r="AD274" i="50" s="1"/>
  <c r="V273" i="50"/>
  <c r="X273" i="50" s="1"/>
  <c r="Z273" i="50" s="1"/>
  <c r="AB273" i="50" s="1"/>
  <c r="AD273" i="50" s="1"/>
  <c r="V272" i="50"/>
  <c r="X272" i="50" s="1"/>
  <c r="Z272" i="50" s="1"/>
  <c r="AB272" i="50" s="1"/>
  <c r="AD272" i="50" s="1"/>
  <c r="V271" i="50"/>
  <c r="X271" i="50" s="1"/>
  <c r="Z271" i="50" s="1"/>
  <c r="AB271" i="50" s="1"/>
  <c r="AD271" i="50" s="1"/>
  <c r="V270" i="50"/>
  <c r="X270" i="50" s="1"/>
  <c r="Z270" i="50" s="1"/>
  <c r="AB270" i="50" s="1"/>
  <c r="AD270" i="50" s="1"/>
  <c r="V269" i="50"/>
  <c r="X269" i="50" s="1"/>
  <c r="Z269" i="50" s="1"/>
  <c r="AB269" i="50" s="1"/>
  <c r="AD269" i="50" s="1"/>
  <c r="V267" i="50"/>
  <c r="X267" i="50" s="1"/>
  <c r="Z267" i="50" s="1"/>
  <c r="AB267" i="50" s="1"/>
  <c r="AD267" i="50" s="1"/>
  <c r="V266" i="50"/>
  <c r="X266" i="50" s="1"/>
  <c r="Z266" i="50" s="1"/>
  <c r="AB266" i="50" s="1"/>
  <c r="AD266" i="50" s="1"/>
  <c r="V265" i="50"/>
  <c r="X265" i="50" s="1"/>
  <c r="Z265" i="50" s="1"/>
  <c r="AB265" i="50" s="1"/>
  <c r="AD265" i="50" s="1"/>
  <c r="V264" i="50"/>
  <c r="X264" i="50" s="1"/>
  <c r="Z264" i="50" s="1"/>
  <c r="AB264" i="50" s="1"/>
  <c r="AD264" i="50" s="1"/>
  <c r="V263" i="50"/>
  <c r="X263" i="50" s="1"/>
  <c r="Z263" i="50" s="1"/>
  <c r="AB263" i="50" s="1"/>
  <c r="AD263" i="50" s="1"/>
  <c r="V262" i="50"/>
  <c r="X262" i="50" s="1"/>
  <c r="Z262" i="50" s="1"/>
  <c r="AB262" i="50" s="1"/>
  <c r="AD262" i="50" s="1"/>
  <c r="V261" i="50"/>
  <c r="X261" i="50" s="1"/>
  <c r="Z261" i="50" s="1"/>
  <c r="AB261" i="50" s="1"/>
  <c r="AD261" i="50" s="1"/>
  <c r="V259" i="50"/>
  <c r="X259" i="50" s="1"/>
  <c r="Z259" i="50" s="1"/>
  <c r="AB259" i="50" s="1"/>
  <c r="AD259" i="50" s="1"/>
  <c r="V258" i="50"/>
  <c r="X258" i="50" s="1"/>
  <c r="Z258" i="50" s="1"/>
  <c r="AB258" i="50" s="1"/>
  <c r="AD258" i="50" s="1"/>
  <c r="V257" i="50"/>
  <c r="X257" i="50" s="1"/>
  <c r="Z257" i="50" s="1"/>
  <c r="AB257" i="50" s="1"/>
  <c r="AD257" i="50" s="1"/>
  <c r="V256" i="50"/>
  <c r="X256" i="50" s="1"/>
  <c r="Z256" i="50" s="1"/>
  <c r="AB256" i="50" s="1"/>
  <c r="AD256" i="50" s="1"/>
  <c r="V255" i="50"/>
  <c r="X255" i="50" s="1"/>
  <c r="Z255" i="50" s="1"/>
  <c r="AB255" i="50" s="1"/>
  <c r="AD255" i="50" s="1"/>
  <c r="V254" i="50"/>
  <c r="X254" i="50" s="1"/>
  <c r="Z254" i="50" s="1"/>
  <c r="AB254" i="50" s="1"/>
  <c r="AD254" i="50" s="1"/>
  <c r="V253" i="50"/>
  <c r="X253" i="50" s="1"/>
  <c r="Z253" i="50" s="1"/>
  <c r="AB253" i="50" s="1"/>
  <c r="AD253" i="50" s="1"/>
  <c r="V251" i="50"/>
  <c r="X251" i="50" s="1"/>
  <c r="Z251" i="50" s="1"/>
  <c r="AB251" i="50" s="1"/>
  <c r="AD251" i="50" s="1"/>
  <c r="V250" i="50"/>
  <c r="X250" i="50" s="1"/>
  <c r="Z250" i="50" s="1"/>
  <c r="AB250" i="50" s="1"/>
  <c r="AD250" i="50" s="1"/>
  <c r="V249" i="50"/>
  <c r="X249" i="50" s="1"/>
  <c r="Z249" i="50" s="1"/>
  <c r="AB249" i="50" s="1"/>
  <c r="AD249" i="50" s="1"/>
  <c r="V247" i="50"/>
  <c r="X247" i="50" s="1"/>
  <c r="Z247" i="50" s="1"/>
  <c r="AB247" i="50" s="1"/>
  <c r="AD247" i="50" s="1"/>
  <c r="V246" i="50"/>
  <c r="X246" i="50" s="1"/>
  <c r="Z246" i="50" s="1"/>
  <c r="AB246" i="50" s="1"/>
  <c r="AD246" i="50" s="1"/>
  <c r="V245" i="50"/>
  <c r="X245" i="50" s="1"/>
  <c r="Z245" i="50" s="1"/>
  <c r="AB245" i="50" s="1"/>
  <c r="AD245" i="50" s="1"/>
  <c r="V243" i="50"/>
  <c r="X243" i="50" s="1"/>
  <c r="Z243" i="50" s="1"/>
  <c r="AB243" i="50" s="1"/>
  <c r="AD243" i="50" s="1"/>
  <c r="V242" i="50"/>
  <c r="X242" i="50" s="1"/>
  <c r="Z242" i="50" s="1"/>
  <c r="AB242" i="50" s="1"/>
  <c r="AD242" i="50" s="1"/>
  <c r="V241" i="50"/>
  <c r="X241" i="50" s="1"/>
  <c r="Z241" i="50" s="1"/>
  <c r="AB241" i="50" s="1"/>
  <c r="AD241" i="50" s="1"/>
  <c r="V240" i="50"/>
  <c r="X240" i="50" s="1"/>
  <c r="Z240" i="50" s="1"/>
  <c r="AB240" i="50" s="1"/>
  <c r="AD240" i="50" s="1"/>
  <c r="V239" i="50"/>
  <c r="X239" i="50" s="1"/>
  <c r="Z239" i="50" s="1"/>
  <c r="AB239" i="50" s="1"/>
  <c r="AD239" i="50" s="1"/>
  <c r="V238" i="50"/>
  <c r="X238" i="50" s="1"/>
  <c r="Z238" i="50" s="1"/>
  <c r="AB238" i="50" s="1"/>
  <c r="AD238" i="50" s="1"/>
  <c r="V237" i="50"/>
  <c r="X237" i="50" s="1"/>
  <c r="Z237" i="50" s="1"/>
  <c r="AB237" i="50" s="1"/>
  <c r="AD237" i="50" s="1"/>
  <c r="V235" i="50"/>
  <c r="X235" i="50" s="1"/>
  <c r="Z235" i="50" s="1"/>
  <c r="AB235" i="50" s="1"/>
  <c r="AD235" i="50" s="1"/>
  <c r="V234" i="50"/>
  <c r="X234" i="50" s="1"/>
  <c r="Z234" i="50" s="1"/>
  <c r="AB234" i="50" s="1"/>
  <c r="AD234" i="50" s="1"/>
  <c r="V233" i="50"/>
  <c r="X233" i="50" s="1"/>
  <c r="Z233" i="50" s="1"/>
  <c r="AB233" i="50" s="1"/>
  <c r="AD233" i="50" s="1"/>
  <c r="V232" i="50"/>
  <c r="X232" i="50" s="1"/>
  <c r="Z232" i="50" s="1"/>
  <c r="AB232" i="50" s="1"/>
  <c r="AD232" i="50" s="1"/>
  <c r="V231" i="50"/>
  <c r="X231" i="50" s="1"/>
  <c r="Z231" i="50" s="1"/>
  <c r="AB231" i="50" s="1"/>
  <c r="AD231" i="50" s="1"/>
  <c r="V230" i="50"/>
  <c r="X230" i="50" s="1"/>
  <c r="Z230" i="50" s="1"/>
  <c r="AB230" i="50" s="1"/>
  <c r="AD230" i="50" s="1"/>
  <c r="V229" i="50"/>
  <c r="X229" i="50" s="1"/>
  <c r="Z229" i="50" s="1"/>
  <c r="AB229" i="50" s="1"/>
  <c r="AD229" i="50" s="1"/>
  <c r="V227" i="50"/>
  <c r="X227" i="50" s="1"/>
  <c r="Z227" i="50" s="1"/>
  <c r="AB227" i="50" s="1"/>
  <c r="AD227" i="50" s="1"/>
  <c r="V226" i="50"/>
  <c r="X226" i="50" s="1"/>
  <c r="Z226" i="50" s="1"/>
  <c r="AB226" i="50" s="1"/>
  <c r="AD226" i="50" s="1"/>
  <c r="V225" i="50"/>
  <c r="X225" i="50" s="1"/>
  <c r="Z225" i="50" s="1"/>
  <c r="AB225" i="50" s="1"/>
  <c r="AD225" i="50" s="1"/>
  <c r="V125" i="50"/>
  <c r="X125" i="50" s="1"/>
  <c r="Z125" i="50" s="1"/>
  <c r="AB125" i="50" s="1"/>
  <c r="AD125" i="50" s="1"/>
  <c r="V224" i="50"/>
  <c r="X224" i="50" s="1"/>
  <c r="Z224" i="50" s="1"/>
  <c r="AB224" i="50" s="1"/>
  <c r="AD224" i="50" s="1"/>
  <c r="V223" i="50"/>
  <c r="X223" i="50" s="1"/>
  <c r="Z223" i="50" s="1"/>
  <c r="AB223" i="50" s="1"/>
  <c r="AD223" i="50" s="1"/>
  <c r="V221" i="50"/>
  <c r="X221" i="50" s="1"/>
  <c r="Z221" i="50" s="1"/>
  <c r="AB221" i="50" s="1"/>
  <c r="AD221" i="50" s="1"/>
  <c r="V220" i="50"/>
  <c r="X220" i="50" s="1"/>
  <c r="Z220" i="50" s="1"/>
  <c r="AB220" i="50" s="1"/>
  <c r="AD220" i="50" s="1"/>
  <c r="V219" i="50"/>
  <c r="X219" i="50" s="1"/>
  <c r="Z219" i="50" s="1"/>
  <c r="AB219" i="50" s="1"/>
  <c r="AD219" i="50" s="1"/>
  <c r="V218" i="50"/>
  <c r="X218" i="50" s="1"/>
  <c r="Z218" i="50" s="1"/>
  <c r="AB218" i="50" s="1"/>
  <c r="AD218" i="50" s="1"/>
  <c r="V217" i="50"/>
  <c r="X217" i="50" s="1"/>
  <c r="Z217" i="50" s="1"/>
  <c r="AB217" i="50" s="1"/>
  <c r="AD217" i="50" s="1"/>
  <c r="V216" i="50"/>
  <c r="X216" i="50" s="1"/>
  <c r="Z216" i="50" s="1"/>
  <c r="AB216" i="50" s="1"/>
  <c r="AD216" i="50" s="1"/>
  <c r="V215" i="50"/>
  <c r="X215" i="50" s="1"/>
  <c r="Z215" i="50" s="1"/>
  <c r="AB215" i="50" s="1"/>
  <c r="AD215" i="50" s="1"/>
  <c r="V212" i="50"/>
  <c r="X212" i="50" s="1"/>
  <c r="Z212" i="50" s="1"/>
  <c r="AB212" i="50" s="1"/>
  <c r="AD212" i="50" s="1"/>
  <c r="V211" i="50"/>
  <c r="X211" i="50" s="1"/>
  <c r="Z211" i="50" s="1"/>
  <c r="AB211" i="50" s="1"/>
  <c r="AD211" i="50" s="1"/>
  <c r="V210" i="50"/>
  <c r="X210" i="50" s="1"/>
  <c r="Z210" i="50" s="1"/>
  <c r="AB210" i="50" s="1"/>
  <c r="AD210" i="50" s="1"/>
  <c r="V209" i="50"/>
  <c r="X209" i="50" s="1"/>
  <c r="Z209" i="50" s="1"/>
  <c r="AB209" i="50" s="1"/>
  <c r="AD209" i="50" s="1"/>
  <c r="V208" i="50"/>
  <c r="X208" i="50" s="1"/>
  <c r="Z208" i="50" s="1"/>
  <c r="AB208" i="50" s="1"/>
  <c r="AD208" i="50" s="1"/>
  <c r="V207" i="50"/>
  <c r="X207" i="50" s="1"/>
  <c r="Z207" i="50" s="1"/>
  <c r="AB207" i="50" s="1"/>
  <c r="AD207" i="50" s="1"/>
  <c r="V205" i="50"/>
  <c r="X205" i="50" s="1"/>
  <c r="Z205" i="50" s="1"/>
  <c r="AB205" i="50" s="1"/>
  <c r="AD205" i="50" s="1"/>
  <c r="V204" i="50"/>
  <c r="X204" i="50" s="1"/>
  <c r="Z204" i="50" s="1"/>
  <c r="AB204" i="50" s="1"/>
  <c r="AD204" i="50" s="1"/>
  <c r="V203" i="50"/>
  <c r="X203" i="50" s="1"/>
  <c r="Z203" i="50" s="1"/>
  <c r="AB203" i="50" s="1"/>
  <c r="AD203" i="50" s="1"/>
  <c r="V202" i="50"/>
  <c r="X202" i="50" s="1"/>
  <c r="Z202" i="50" s="1"/>
  <c r="AB202" i="50" s="1"/>
  <c r="AD202" i="50" s="1"/>
  <c r="V201" i="50"/>
  <c r="X201" i="50" s="1"/>
  <c r="Z201" i="50" s="1"/>
  <c r="AB201" i="50" s="1"/>
  <c r="AD201" i="50" s="1"/>
  <c r="V200" i="50"/>
  <c r="X200" i="50" s="1"/>
  <c r="Z200" i="50" s="1"/>
  <c r="AB200" i="50" s="1"/>
  <c r="AD200" i="50" s="1"/>
  <c r="V199" i="50"/>
  <c r="X199" i="50" s="1"/>
  <c r="Z199" i="50" s="1"/>
  <c r="AB199" i="50" s="1"/>
  <c r="AD199" i="50" s="1"/>
  <c r="V197" i="50"/>
  <c r="X197" i="50" s="1"/>
  <c r="Z197" i="50" s="1"/>
  <c r="AB197" i="50" s="1"/>
  <c r="AD197" i="50" s="1"/>
  <c r="V196" i="50"/>
  <c r="X196" i="50" s="1"/>
  <c r="Z196" i="50" s="1"/>
  <c r="AB196" i="50" s="1"/>
  <c r="AD196" i="50" s="1"/>
  <c r="V195" i="50"/>
  <c r="X195" i="50" s="1"/>
  <c r="Z195" i="50" s="1"/>
  <c r="AB195" i="50" s="1"/>
  <c r="AD195" i="50" s="1"/>
  <c r="V194" i="50"/>
  <c r="X194" i="50" s="1"/>
  <c r="Z194" i="50" s="1"/>
  <c r="AB194" i="50" s="1"/>
  <c r="AD194" i="50" s="1"/>
  <c r="V193" i="50"/>
  <c r="X193" i="50" s="1"/>
  <c r="Z193" i="50" s="1"/>
  <c r="AB193" i="50" s="1"/>
  <c r="AD193" i="50" s="1"/>
  <c r="V192" i="50"/>
  <c r="X192" i="50" s="1"/>
  <c r="Z192" i="50" s="1"/>
  <c r="AB192" i="50" s="1"/>
  <c r="AD192" i="50" s="1"/>
  <c r="V191" i="50"/>
  <c r="X191" i="50" s="1"/>
  <c r="Z191" i="50" s="1"/>
  <c r="AB191" i="50" s="1"/>
  <c r="AD191" i="50" s="1"/>
  <c r="V189" i="50"/>
  <c r="X189" i="50" s="1"/>
  <c r="Z189" i="50" s="1"/>
  <c r="AB189" i="50" s="1"/>
  <c r="AD189" i="50" s="1"/>
  <c r="V188" i="50"/>
  <c r="X188" i="50" s="1"/>
  <c r="Z188" i="50" s="1"/>
  <c r="AB188" i="50" s="1"/>
  <c r="AD188" i="50" s="1"/>
  <c r="V187" i="50"/>
  <c r="X187" i="50" s="1"/>
  <c r="Z187" i="50" s="1"/>
  <c r="AB187" i="50" s="1"/>
  <c r="AD187" i="50" s="1"/>
  <c r="V186" i="50"/>
  <c r="X186" i="50" s="1"/>
  <c r="Z186" i="50" s="1"/>
  <c r="AB186" i="50" s="1"/>
  <c r="AD186" i="50" s="1"/>
  <c r="V185" i="50"/>
  <c r="X185" i="50" s="1"/>
  <c r="Z185" i="50" s="1"/>
  <c r="AB185" i="50" s="1"/>
  <c r="AD185" i="50" s="1"/>
  <c r="V184" i="50"/>
  <c r="X184" i="50" s="1"/>
  <c r="Z184" i="50" s="1"/>
  <c r="AB184" i="50" s="1"/>
  <c r="AD184" i="50" s="1"/>
  <c r="V183" i="50"/>
  <c r="X183" i="50" s="1"/>
  <c r="Z183" i="50" s="1"/>
  <c r="AB183" i="50" s="1"/>
  <c r="AD183" i="50" s="1"/>
  <c r="V181" i="50"/>
  <c r="X181" i="50" s="1"/>
  <c r="Z181" i="50" s="1"/>
  <c r="AB181" i="50" s="1"/>
  <c r="AD181" i="50" s="1"/>
  <c r="V180" i="50"/>
  <c r="X180" i="50" s="1"/>
  <c r="Z180" i="50" s="1"/>
  <c r="AB180" i="50" s="1"/>
  <c r="AD180" i="50" s="1"/>
  <c r="V179" i="50"/>
  <c r="X179" i="50" s="1"/>
  <c r="Z179" i="50" s="1"/>
  <c r="AB179" i="50" s="1"/>
  <c r="AD179" i="50" s="1"/>
  <c r="V178" i="50"/>
  <c r="X178" i="50" s="1"/>
  <c r="Z178" i="50" s="1"/>
  <c r="AB178" i="50" s="1"/>
  <c r="AD178" i="50" s="1"/>
  <c r="V177" i="50"/>
  <c r="X177" i="50" s="1"/>
  <c r="Z177" i="50" s="1"/>
  <c r="AB177" i="50" s="1"/>
  <c r="AD177" i="50" s="1"/>
  <c r="V176" i="50"/>
  <c r="X176" i="50" s="1"/>
  <c r="Z176" i="50" s="1"/>
  <c r="AB176" i="50" s="1"/>
  <c r="AD176" i="50" s="1"/>
  <c r="V175" i="50"/>
  <c r="X175" i="50" s="1"/>
  <c r="Z175" i="50" s="1"/>
  <c r="AB175" i="50" s="1"/>
  <c r="AD175" i="50" s="1"/>
  <c r="V173" i="50"/>
  <c r="X173" i="50" s="1"/>
  <c r="Z173" i="50" s="1"/>
  <c r="AB173" i="50" s="1"/>
  <c r="AD173" i="50" s="1"/>
  <c r="V172" i="50"/>
  <c r="X172" i="50" s="1"/>
  <c r="Z172" i="50" s="1"/>
  <c r="AB172" i="50" s="1"/>
  <c r="AD172" i="50" s="1"/>
  <c r="V171" i="50"/>
  <c r="X171" i="50" s="1"/>
  <c r="Z171" i="50" s="1"/>
  <c r="AB171" i="50" s="1"/>
  <c r="AD171" i="50" s="1"/>
  <c r="V170" i="50"/>
  <c r="X170" i="50" s="1"/>
  <c r="Z170" i="50" s="1"/>
  <c r="AB170" i="50" s="1"/>
  <c r="AD170" i="50" s="1"/>
  <c r="V169" i="50"/>
  <c r="X169" i="50" s="1"/>
  <c r="Z169" i="50" s="1"/>
  <c r="AB169" i="50" s="1"/>
  <c r="AD169" i="50" s="1"/>
  <c r="V168" i="50"/>
  <c r="X168" i="50" s="1"/>
  <c r="Z168" i="50" s="1"/>
  <c r="AB168" i="50" s="1"/>
  <c r="AD168" i="50" s="1"/>
  <c r="V167" i="50"/>
  <c r="X167" i="50" s="1"/>
  <c r="Z167" i="50" s="1"/>
  <c r="AB167" i="50" s="1"/>
  <c r="AD167" i="50" s="1"/>
  <c r="V165" i="50"/>
  <c r="X165" i="50" s="1"/>
  <c r="Z165" i="50" s="1"/>
  <c r="AB165" i="50" s="1"/>
  <c r="AD165" i="50" s="1"/>
  <c r="V164" i="50"/>
  <c r="X164" i="50" s="1"/>
  <c r="Z164" i="50" s="1"/>
  <c r="AB164" i="50" s="1"/>
  <c r="AD164" i="50" s="1"/>
  <c r="V163" i="50"/>
  <c r="X163" i="50" s="1"/>
  <c r="Z163" i="50" s="1"/>
  <c r="AB163" i="50" s="1"/>
  <c r="AD163" i="50" s="1"/>
  <c r="V162" i="50"/>
  <c r="X162" i="50" s="1"/>
  <c r="Z162" i="50" s="1"/>
  <c r="AB162" i="50" s="1"/>
  <c r="AD162" i="50" s="1"/>
  <c r="V161" i="50"/>
  <c r="X161" i="50" s="1"/>
  <c r="Z161" i="50" s="1"/>
  <c r="AB161" i="50" s="1"/>
  <c r="AD161" i="50" s="1"/>
  <c r="V160" i="50"/>
  <c r="X160" i="50" s="1"/>
  <c r="Z160" i="50" s="1"/>
  <c r="AB160" i="50" s="1"/>
  <c r="AD160" i="50" s="1"/>
  <c r="V159" i="50"/>
  <c r="X159" i="50" s="1"/>
  <c r="Z159" i="50" s="1"/>
  <c r="AB159" i="50" s="1"/>
  <c r="AD159" i="50" s="1"/>
  <c r="V157" i="50"/>
  <c r="X157" i="50" s="1"/>
  <c r="Z157" i="50" s="1"/>
  <c r="AB157" i="50" s="1"/>
  <c r="AD157" i="50" s="1"/>
  <c r="V156" i="50"/>
  <c r="X156" i="50" s="1"/>
  <c r="Z156" i="50" s="1"/>
  <c r="AB156" i="50" s="1"/>
  <c r="AD156" i="50" s="1"/>
  <c r="V155" i="50"/>
  <c r="X155" i="50" s="1"/>
  <c r="Z155" i="50" s="1"/>
  <c r="AB155" i="50" s="1"/>
  <c r="AD155" i="50" s="1"/>
  <c r="V154" i="50"/>
  <c r="X154" i="50" s="1"/>
  <c r="Z154" i="50" s="1"/>
  <c r="AB154" i="50" s="1"/>
  <c r="AD154" i="50" s="1"/>
  <c r="V153" i="50"/>
  <c r="X153" i="50" s="1"/>
  <c r="Z153" i="50" s="1"/>
  <c r="AB153" i="50" s="1"/>
  <c r="AD153" i="50" s="1"/>
  <c r="V152" i="50"/>
  <c r="X152" i="50" s="1"/>
  <c r="Z152" i="50" s="1"/>
  <c r="AB152" i="50" s="1"/>
  <c r="AD152" i="50" s="1"/>
  <c r="V151" i="50"/>
  <c r="X151" i="50" s="1"/>
  <c r="Z151" i="50" s="1"/>
  <c r="AB151" i="50" s="1"/>
  <c r="AD151" i="50" s="1"/>
  <c r="V149" i="50"/>
  <c r="X149" i="50" s="1"/>
  <c r="Z149" i="50" s="1"/>
  <c r="AB149" i="50" s="1"/>
  <c r="AD149" i="50" s="1"/>
  <c r="V148" i="50"/>
  <c r="X148" i="50" s="1"/>
  <c r="Z148" i="50" s="1"/>
  <c r="AB148" i="50" s="1"/>
  <c r="AD148" i="50" s="1"/>
  <c r="V147" i="50"/>
  <c r="X147" i="50" s="1"/>
  <c r="Z147" i="50" s="1"/>
  <c r="AB147" i="50" s="1"/>
  <c r="AD147" i="50" s="1"/>
  <c r="V146" i="50"/>
  <c r="X146" i="50" s="1"/>
  <c r="Z146" i="50" s="1"/>
  <c r="AB146" i="50" s="1"/>
  <c r="AD146" i="50" s="1"/>
  <c r="V145" i="50"/>
  <c r="X145" i="50" s="1"/>
  <c r="Z145" i="50" s="1"/>
  <c r="AB145" i="50" s="1"/>
  <c r="AD145" i="50" s="1"/>
  <c r="V144" i="50"/>
  <c r="X144" i="50" s="1"/>
  <c r="Z144" i="50" s="1"/>
  <c r="AB144" i="50" s="1"/>
  <c r="AD144" i="50" s="1"/>
  <c r="V143" i="50"/>
  <c r="X143" i="50" s="1"/>
  <c r="Z143" i="50" s="1"/>
  <c r="AB143" i="50" s="1"/>
  <c r="AD143" i="50" s="1"/>
  <c r="V141" i="50"/>
  <c r="X141" i="50" s="1"/>
  <c r="Z141" i="50" s="1"/>
  <c r="AB141" i="50" s="1"/>
  <c r="AD141" i="50" s="1"/>
  <c r="V140" i="50"/>
  <c r="X140" i="50" s="1"/>
  <c r="Z140" i="50" s="1"/>
  <c r="AB140" i="50" s="1"/>
  <c r="AD140" i="50" s="1"/>
  <c r="V139" i="50"/>
  <c r="X139" i="50" s="1"/>
  <c r="Z139" i="50" s="1"/>
  <c r="AB139" i="50" s="1"/>
  <c r="AD139" i="50" s="1"/>
  <c r="V138" i="50"/>
  <c r="X138" i="50" s="1"/>
  <c r="Z138" i="50" s="1"/>
  <c r="AB138" i="50" s="1"/>
  <c r="AD138" i="50" s="1"/>
  <c r="V137" i="50"/>
  <c r="X137" i="50" s="1"/>
  <c r="Z137" i="50" s="1"/>
  <c r="AB137" i="50" s="1"/>
  <c r="AD137" i="50" s="1"/>
  <c r="V136" i="50"/>
  <c r="X136" i="50" s="1"/>
  <c r="Z136" i="50" s="1"/>
  <c r="AB136" i="50" s="1"/>
  <c r="AD136" i="50" s="1"/>
  <c r="V135" i="50"/>
  <c r="X135" i="50" s="1"/>
  <c r="Z135" i="50" s="1"/>
  <c r="AB135" i="50" s="1"/>
  <c r="AD135" i="50" s="1"/>
  <c r="V133" i="50"/>
  <c r="X133" i="50" s="1"/>
  <c r="Z133" i="50" s="1"/>
  <c r="AB133" i="50" s="1"/>
  <c r="AD133" i="50" s="1"/>
  <c r="V132" i="50"/>
  <c r="X132" i="50" s="1"/>
  <c r="Z132" i="50" s="1"/>
  <c r="AB132" i="50" s="1"/>
  <c r="AD132" i="50" s="1"/>
  <c r="V131" i="50"/>
  <c r="X131" i="50" s="1"/>
  <c r="Z131" i="50" s="1"/>
  <c r="AB131" i="50" s="1"/>
  <c r="AD131" i="50" s="1"/>
  <c r="V130" i="50"/>
  <c r="X130" i="50" s="1"/>
  <c r="Z130" i="50" s="1"/>
  <c r="AB130" i="50" s="1"/>
  <c r="AD130" i="50" s="1"/>
  <c r="V129" i="50"/>
  <c r="X129" i="50" s="1"/>
  <c r="Z129" i="50" s="1"/>
  <c r="AB129" i="50" s="1"/>
  <c r="AD129" i="50" s="1"/>
  <c r="V128" i="50"/>
  <c r="X128" i="50" s="1"/>
  <c r="Z128" i="50" s="1"/>
  <c r="AB128" i="50" s="1"/>
  <c r="AD128" i="50" s="1"/>
  <c r="V127" i="50"/>
  <c r="X127" i="50" s="1"/>
  <c r="Z127" i="50" s="1"/>
  <c r="AB127" i="50" s="1"/>
  <c r="AD127" i="50" s="1"/>
  <c r="V124" i="50"/>
  <c r="X124" i="50" s="1"/>
  <c r="Z124" i="50" s="1"/>
  <c r="AB124" i="50" s="1"/>
  <c r="AD124" i="50" s="1"/>
  <c r="V123" i="50"/>
  <c r="X123" i="50" s="1"/>
  <c r="Z123" i="50" s="1"/>
  <c r="AB123" i="50" s="1"/>
  <c r="AD123" i="50" s="1"/>
  <c r="V122" i="50"/>
  <c r="X122" i="50" s="1"/>
  <c r="Z122" i="50" s="1"/>
  <c r="AB122" i="50" s="1"/>
  <c r="AD122" i="50" s="1"/>
  <c r="V121" i="50"/>
  <c r="X121" i="50" s="1"/>
  <c r="Z121" i="50" s="1"/>
  <c r="AB121" i="50" s="1"/>
  <c r="AD121" i="50" s="1"/>
  <c r="V120" i="50"/>
  <c r="X120" i="50" s="1"/>
  <c r="Z120" i="50" s="1"/>
  <c r="AB120" i="50" s="1"/>
  <c r="AD120" i="50" s="1"/>
  <c r="V118" i="50"/>
  <c r="X118" i="50" s="1"/>
  <c r="Z118" i="50" s="1"/>
  <c r="AB118" i="50" s="1"/>
  <c r="AD118" i="50" s="1"/>
  <c r="V116" i="50"/>
  <c r="X116" i="50" s="1"/>
  <c r="Z116" i="50" s="1"/>
  <c r="AB116" i="50" s="1"/>
  <c r="AD116" i="50" s="1"/>
  <c r="V115" i="50"/>
  <c r="X115" i="50" s="1"/>
  <c r="Z115" i="50" s="1"/>
  <c r="AB115" i="50" s="1"/>
  <c r="AD115" i="50" s="1"/>
  <c r="V114" i="50"/>
  <c r="X114" i="50" s="1"/>
  <c r="Z114" i="50" s="1"/>
  <c r="AB114" i="50" s="1"/>
  <c r="AD114" i="50" s="1"/>
  <c r="V112" i="50"/>
  <c r="X112" i="50" s="1"/>
  <c r="Z112" i="50" s="1"/>
  <c r="AB112" i="50" s="1"/>
  <c r="AD112" i="50" s="1"/>
  <c r="V111" i="50"/>
  <c r="X111" i="50" s="1"/>
  <c r="Z111" i="50" s="1"/>
  <c r="AB111" i="50" s="1"/>
  <c r="AD111" i="50" s="1"/>
  <c r="V110" i="50"/>
  <c r="X110" i="50" s="1"/>
  <c r="Z110" i="50" s="1"/>
  <c r="AB110" i="50" s="1"/>
  <c r="AD110" i="50" s="1"/>
  <c r="V108" i="50"/>
  <c r="X108" i="50" s="1"/>
  <c r="Z108" i="50" s="1"/>
  <c r="AB108" i="50" s="1"/>
  <c r="AD108" i="50" s="1"/>
  <c r="V107" i="50"/>
  <c r="X107" i="50" s="1"/>
  <c r="Z107" i="50" s="1"/>
  <c r="AB107" i="50" s="1"/>
  <c r="AD107" i="50" s="1"/>
  <c r="V106" i="50"/>
  <c r="X106" i="50" s="1"/>
  <c r="Z106" i="50" s="1"/>
  <c r="AB106" i="50" s="1"/>
  <c r="AD106" i="50" s="1"/>
  <c r="V104" i="50"/>
  <c r="X104" i="50" s="1"/>
  <c r="Z104" i="50" s="1"/>
  <c r="AB104" i="50" s="1"/>
  <c r="AD104" i="50" s="1"/>
  <c r="V103" i="50"/>
  <c r="X103" i="50" s="1"/>
  <c r="Z103" i="50" s="1"/>
  <c r="AB103" i="50" s="1"/>
  <c r="AD103" i="50" s="1"/>
  <c r="V102" i="50"/>
  <c r="X102" i="50" s="1"/>
  <c r="Z102" i="50" s="1"/>
  <c r="AB102" i="50" s="1"/>
  <c r="AD102" i="50" s="1"/>
  <c r="V100" i="50"/>
  <c r="X100" i="50" s="1"/>
  <c r="Z100" i="50" s="1"/>
  <c r="AB100" i="50" s="1"/>
  <c r="AD100" i="50" s="1"/>
  <c r="V99" i="50"/>
  <c r="X99" i="50" s="1"/>
  <c r="Z99" i="50" s="1"/>
  <c r="AB99" i="50" s="1"/>
  <c r="AD99" i="50" s="1"/>
  <c r="V98" i="50"/>
  <c r="X98" i="50" s="1"/>
  <c r="Z98" i="50" s="1"/>
  <c r="AB98" i="50" s="1"/>
  <c r="AD98" i="50" s="1"/>
  <c r="V96" i="50"/>
  <c r="X96" i="50" s="1"/>
  <c r="Z96" i="50" s="1"/>
  <c r="AB96" i="50" s="1"/>
  <c r="AD96" i="50" s="1"/>
  <c r="V95" i="50"/>
  <c r="X95" i="50" s="1"/>
  <c r="Z95" i="50" s="1"/>
  <c r="AB95" i="50" s="1"/>
  <c r="AD95" i="50" s="1"/>
  <c r="V94" i="50"/>
  <c r="X94" i="50" s="1"/>
  <c r="Z94" i="50" s="1"/>
  <c r="AB94" i="50" s="1"/>
  <c r="AD94" i="50" s="1"/>
  <c r="V92" i="50"/>
  <c r="X92" i="50" s="1"/>
  <c r="Z92" i="50" s="1"/>
  <c r="AB92" i="50" s="1"/>
  <c r="AD92" i="50" s="1"/>
  <c r="V91" i="50"/>
  <c r="X91" i="50" s="1"/>
  <c r="Z91" i="50" s="1"/>
  <c r="AB91" i="50" s="1"/>
  <c r="AD91" i="50" s="1"/>
  <c r="V90" i="50"/>
  <c r="X90" i="50" s="1"/>
  <c r="Z90" i="50" s="1"/>
  <c r="AB90" i="50" s="1"/>
  <c r="AD90" i="50" s="1"/>
  <c r="V88" i="50"/>
  <c r="X88" i="50" s="1"/>
  <c r="Z88" i="50" s="1"/>
  <c r="AB88" i="50" s="1"/>
  <c r="AD88" i="50" s="1"/>
  <c r="V87" i="50"/>
  <c r="X87" i="50" s="1"/>
  <c r="Z87" i="50" s="1"/>
  <c r="AB87" i="50" s="1"/>
  <c r="AD87" i="50" s="1"/>
  <c r="V86" i="50"/>
  <c r="X86" i="50" s="1"/>
  <c r="Z86" i="50" s="1"/>
  <c r="AB86" i="50" s="1"/>
  <c r="AD86" i="50" s="1"/>
  <c r="V84" i="50"/>
  <c r="X84" i="50" s="1"/>
  <c r="Z84" i="50" s="1"/>
  <c r="AB84" i="50" s="1"/>
  <c r="AD84" i="50" s="1"/>
  <c r="V83" i="50"/>
  <c r="X83" i="50" s="1"/>
  <c r="Z83" i="50" s="1"/>
  <c r="AB83" i="50" s="1"/>
  <c r="AD83" i="50" s="1"/>
  <c r="V82" i="50"/>
  <c r="X82" i="50" s="1"/>
  <c r="Z82" i="50" s="1"/>
  <c r="AB82" i="50" s="1"/>
  <c r="AD82" i="50" s="1"/>
  <c r="V80" i="50"/>
  <c r="X80" i="50" s="1"/>
  <c r="Z80" i="50" s="1"/>
  <c r="AB80" i="50" s="1"/>
  <c r="AD80" i="50" s="1"/>
  <c r="V79" i="50"/>
  <c r="X79" i="50" s="1"/>
  <c r="Z79" i="50" s="1"/>
  <c r="AB79" i="50" s="1"/>
  <c r="AD79" i="50" s="1"/>
  <c r="V78" i="50"/>
  <c r="X78" i="50" s="1"/>
  <c r="Z78" i="50" s="1"/>
  <c r="AB78" i="50" s="1"/>
  <c r="AD78" i="50" s="1"/>
  <c r="V76" i="50"/>
  <c r="X76" i="50" s="1"/>
  <c r="Z76" i="50" s="1"/>
  <c r="AB76" i="50" s="1"/>
  <c r="AD76" i="50" s="1"/>
  <c r="V75" i="50"/>
  <c r="X75" i="50" s="1"/>
  <c r="Z75" i="50" s="1"/>
  <c r="AB75" i="50" s="1"/>
  <c r="AD75" i="50" s="1"/>
  <c r="V74" i="50"/>
  <c r="X74" i="50" s="1"/>
  <c r="Z74" i="50" s="1"/>
  <c r="AB74" i="50" s="1"/>
  <c r="AD74" i="50" s="1"/>
  <c r="V72" i="50"/>
  <c r="X72" i="50" s="1"/>
  <c r="Z72" i="50" s="1"/>
  <c r="AB72" i="50" s="1"/>
  <c r="AD72" i="50" s="1"/>
  <c r="V71" i="50"/>
  <c r="X71" i="50" s="1"/>
  <c r="Z71" i="50" s="1"/>
  <c r="AB71" i="50" s="1"/>
  <c r="AD71" i="50" s="1"/>
  <c r="V70" i="50"/>
  <c r="X70" i="50" s="1"/>
  <c r="Z70" i="50" s="1"/>
  <c r="AB70" i="50" s="1"/>
  <c r="AD70" i="50" s="1"/>
  <c r="V68" i="50"/>
  <c r="X68" i="50" s="1"/>
  <c r="Z68" i="50" s="1"/>
  <c r="AB68" i="50" s="1"/>
  <c r="AD68" i="50" s="1"/>
  <c r="V67" i="50"/>
  <c r="X67" i="50" s="1"/>
  <c r="Z67" i="50" s="1"/>
  <c r="AB67" i="50" s="1"/>
  <c r="AD67" i="50" s="1"/>
  <c r="V66" i="50"/>
  <c r="X66" i="50" s="1"/>
  <c r="Z66" i="50" s="1"/>
  <c r="AB66" i="50" s="1"/>
  <c r="AD66" i="50" s="1"/>
  <c r="V64" i="50"/>
  <c r="X64" i="50" s="1"/>
  <c r="Z64" i="50" s="1"/>
  <c r="AB64" i="50" s="1"/>
  <c r="AD64" i="50" s="1"/>
  <c r="V63" i="50"/>
  <c r="X63" i="50" s="1"/>
  <c r="Z63" i="50" s="1"/>
  <c r="AB63" i="50" s="1"/>
  <c r="AD63" i="50" s="1"/>
  <c r="V62" i="50"/>
  <c r="X62" i="50" s="1"/>
  <c r="Z62" i="50" s="1"/>
  <c r="AB62" i="50" s="1"/>
  <c r="AD62" i="50" s="1"/>
  <c r="V60" i="50"/>
  <c r="X60" i="50" s="1"/>
  <c r="Z60" i="50" s="1"/>
  <c r="AB60" i="50" s="1"/>
  <c r="AD60" i="50" s="1"/>
  <c r="V59" i="50"/>
  <c r="X59" i="50" s="1"/>
  <c r="Z59" i="50" s="1"/>
  <c r="AB59" i="50" s="1"/>
  <c r="AD59" i="50" s="1"/>
  <c r="V58" i="50"/>
  <c r="X58" i="50" s="1"/>
  <c r="Z58" i="50" s="1"/>
  <c r="AB58" i="50" s="1"/>
  <c r="AD58" i="50" s="1"/>
  <c r="V56" i="50"/>
  <c r="X56" i="50" s="1"/>
  <c r="Z56" i="50" s="1"/>
  <c r="AB56" i="50" s="1"/>
  <c r="AD56" i="50" s="1"/>
  <c r="V55" i="50"/>
  <c r="X55" i="50" s="1"/>
  <c r="Z55" i="50" s="1"/>
  <c r="AB55" i="50" s="1"/>
  <c r="AD55" i="50" s="1"/>
  <c r="V54" i="50"/>
  <c r="X54" i="50" s="1"/>
  <c r="Z54" i="50" s="1"/>
  <c r="AB54" i="50" s="1"/>
  <c r="AD54" i="50" s="1"/>
  <c r="V52" i="50"/>
  <c r="X52" i="50" s="1"/>
  <c r="Z52" i="50" s="1"/>
  <c r="AB52" i="50" s="1"/>
  <c r="AD52" i="50" s="1"/>
  <c r="V51" i="50"/>
  <c r="X51" i="50" s="1"/>
  <c r="Z51" i="50" s="1"/>
  <c r="AB51" i="50" s="1"/>
  <c r="AD51" i="50" s="1"/>
  <c r="V50" i="50"/>
  <c r="X50" i="50" s="1"/>
  <c r="Z50" i="50" s="1"/>
  <c r="AB50" i="50" s="1"/>
  <c r="AD50" i="50" s="1"/>
  <c r="V48" i="50"/>
  <c r="X48" i="50" s="1"/>
  <c r="Z48" i="50" s="1"/>
  <c r="AB48" i="50" s="1"/>
  <c r="AD48" i="50" s="1"/>
  <c r="V47" i="50"/>
  <c r="X47" i="50" s="1"/>
  <c r="Z47" i="50" s="1"/>
  <c r="AB47" i="50" s="1"/>
  <c r="AD47" i="50" s="1"/>
  <c r="V46" i="50"/>
  <c r="X46" i="50" s="1"/>
  <c r="Z46" i="50" s="1"/>
  <c r="AB46" i="50" s="1"/>
  <c r="AD46" i="50" s="1"/>
  <c r="V44" i="50"/>
  <c r="X44" i="50" s="1"/>
  <c r="Z44" i="50" s="1"/>
  <c r="AB44" i="50" s="1"/>
  <c r="AD44" i="50" s="1"/>
  <c r="V43" i="50"/>
  <c r="X43" i="50" s="1"/>
  <c r="Z43" i="50" s="1"/>
  <c r="AB43" i="50" s="1"/>
  <c r="AD43" i="50" s="1"/>
  <c r="V42" i="50"/>
  <c r="X42" i="50" s="1"/>
  <c r="Z42" i="50" s="1"/>
  <c r="AB42" i="50" s="1"/>
  <c r="AD42" i="50" s="1"/>
  <c r="V40" i="50"/>
  <c r="X40" i="50" s="1"/>
  <c r="Z40" i="50" s="1"/>
  <c r="AB40" i="50" s="1"/>
  <c r="AD40" i="50" s="1"/>
  <c r="V39" i="50"/>
  <c r="X39" i="50" s="1"/>
  <c r="Z39" i="50" s="1"/>
  <c r="AB39" i="50" s="1"/>
  <c r="AD39" i="50" s="1"/>
  <c r="V38" i="50"/>
  <c r="X38" i="50" s="1"/>
  <c r="Z38" i="50" s="1"/>
  <c r="AB38" i="50" s="1"/>
  <c r="AD38" i="50" s="1"/>
  <c r="V36" i="50"/>
  <c r="X36" i="50" s="1"/>
  <c r="Z36" i="50" s="1"/>
  <c r="AB36" i="50" s="1"/>
  <c r="AD36" i="50" s="1"/>
  <c r="V35" i="50"/>
  <c r="X35" i="50" s="1"/>
  <c r="Z35" i="50" s="1"/>
  <c r="AB35" i="50" s="1"/>
  <c r="AD35" i="50" s="1"/>
  <c r="V34" i="50"/>
  <c r="X34" i="50" s="1"/>
  <c r="Z34" i="50" s="1"/>
  <c r="AB34" i="50" s="1"/>
  <c r="AD34" i="50" s="1"/>
  <c r="V32" i="50"/>
  <c r="X32" i="50" s="1"/>
  <c r="Z32" i="50" s="1"/>
  <c r="AB32" i="50" s="1"/>
  <c r="AD32" i="50" s="1"/>
  <c r="V31" i="50"/>
  <c r="X31" i="50" s="1"/>
  <c r="Z31" i="50" s="1"/>
  <c r="AB31" i="50" s="1"/>
  <c r="AD31" i="50" s="1"/>
  <c r="V30" i="50"/>
  <c r="X30" i="50" s="1"/>
  <c r="Z30" i="50" s="1"/>
  <c r="AB30" i="50" s="1"/>
  <c r="AD30" i="50" s="1"/>
  <c r="V28" i="50"/>
  <c r="X28" i="50" s="1"/>
  <c r="Z28" i="50" s="1"/>
  <c r="AB28" i="50" s="1"/>
  <c r="AD28" i="50" s="1"/>
  <c r="V27" i="50"/>
  <c r="X27" i="50" s="1"/>
  <c r="Z27" i="50" s="1"/>
  <c r="AB27" i="50" s="1"/>
  <c r="AD27" i="50" s="1"/>
  <c r="V26" i="50"/>
  <c r="X26" i="50" s="1"/>
  <c r="Z26" i="50" s="1"/>
  <c r="AB26" i="50" s="1"/>
  <c r="AD26" i="50" s="1"/>
  <c r="V24" i="50"/>
  <c r="X24" i="50" s="1"/>
  <c r="Z24" i="50" s="1"/>
  <c r="AB24" i="50" s="1"/>
  <c r="AD24" i="50" s="1"/>
  <c r="V23" i="50"/>
  <c r="X23" i="50" s="1"/>
  <c r="Z23" i="50" s="1"/>
  <c r="AB23" i="50" s="1"/>
  <c r="AD23" i="50" s="1"/>
  <c r="V22" i="50"/>
  <c r="X22" i="50" s="1"/>
  <c r="Z22" i="50" s="1"/>
  <c r="AB22" i="50" s="1"/>
  <c r="AD22" i="50" s="1"/>
  <c r="V20" i="50"/>
  <c r="X20" i="50" s="1"/>
  <c r="Z20" i="50" s="1"/>
  <c r="AB20" i="50" s="1"/>
  <c r="AD20" i="50" s="1"/>
  <c r="V19" i="50"/>
  <c r="X19" i="50" s="1"/>
  <c r="Z19" i="50" s="1"/>
  <c r="AB19" i="50" s="1"/>
  <c r="AD19" i="50" s="1"/>
  <c r="V18" i="50"/>
  <c r="X18" i="50" s="1"/>
  <c r="Z18" i="50" s="1"/>
  <c r="AB18" i="50" s="1"/>
  <c r="AD18" i="50" s="1"/>
  <c r="V16" i="50"/>
  <c r="X16" i="50" s="1"/>
  <c r="Z16" i="50" s="1"/>
  <c r="AB16" i="50" s="1"/>
  <c r="AD16" i="50" s="1"/>
  <c r="V15" i="50"/>
  <c r="X15" i="50" s="1"/>
  <c r="Z15" i="50" s="1"/>
  <c r="AB15" i="50" s="1"/>
  <c r="AD15" i="50" s="1"/>
  <c r="V14" i="50"/>
  <c r="X14" i="50" s="1"/>
  <c r="Z14" i="50" s="1"/>
  <c r="AB14" i="50" s="1"/>
  <c r="AD14" i="50" s="1"/>
  <c r="V12" i="50"/>
  <c r="X12" i="50" s="1"/>
  <c r="Z12" i="50" s="1"/>
  <c r="AB12" i="50" s="1"/>
  <c r="AD12" i="50" s="1"/>
  <c r="V11" i="50"/>
  <c r="X11" i="50" s="1"/>
  <c r="Z11" i="50" s="1"/>
  <c r="AB11" i="50" s="1"/>
  <c r="AD11" i="50" s="1"/>
  <c r="V10" i="50"/>
  <c r="X10" i="50" s="1"/>
  <c r="Z10" i="50" s="1"/>
  <c r="AB10" i="50" s="1"/>
  <c r="AD10" i="50" s="1"/>
  <c r="W7" i="50"/>
  <c r="U7" i="50"/>
  <c r="U331" i="26"/>
  <c r="U330" i="26"/>
  <c r="U329" i="26"/>
  <c r="L330" i="26" l="1"/>
  <c r="L329" i="26"/>
  <c r="L331" i="26"/>
  <c r="Z7" i="50"/>
  <c r="AB8" i="50"/>
  <c r="I1" i="26"/>
  <c r="X7" i="50"/>
  <c r="V7" i="50"/>
  <c r="AB7" i="50" l="1"/>
  <c r="AD8" i="50"/>
  <c r="C336" i="28"/>
  <c r="C335" i="28"/>
  <c r="C334" i="28"/>
  <c r="C333" i="28"/>
  <c r="C332" i="28"/>
  <c r="C331" i="28"/>
  <c r="C330" i="28"/>
  <c r="C329" i="28"/>
  <c r="C328" i="28"/>
  <c r="C327" i="28"/>
  <c r="C326" i="28"/>
  <c r="C325" i="28"/>
  <c r="C324" i="28"/>
  <c r="C323" i="28"/>
  <c r="C322" i="28"/>
  <c r="C321" i="28"/>
  <c r="C320" i="28"/>
  <c r="C319" i="28"/>
  <c r="C318" i="28"/>
  <c r="C317" i="28"/>
  <c r="C316" i="28"/>
  <c r="C315" i="28"/>
  <c r="C314" i="28"/>
  <c r="C313" i="28"/>
  <c r="C312" i="28"/>
  <c r="C311" i="28"/>
  <c r="C310" i="28"/>
  <c r="C309" i="28"/>
  <c r="C308" i="28"/>
  <c r="C307" i="28"/>
  <c r="C306" i="28"/>
  <c r="C305" i="28"/>
  <c r="C304" i="28"/>
  <c r="C303" i="28"/>
  <c r="C302" i="28"/>
  <c r="C301" i="28"/>
  <c r="C300" i="28"/>
  <c r="C299" i="28"/>
  <c r="C298" i="28"/>
  <c r="C297" i="28"/>
  <c r="C296" i="28"/>
  <c r="C295" i="28"/>
  <c r="C294" i="28"/>
  <c r="C293" i="28"/>
  <c r="C292" i="28"/>
  <c r="C291" i="28"/>
  <c r="C290" i="28"/>
  <c r="C289" i="28"/>
  <c r="C288" i="28"/>
  <c r="C287" i="28"/>
  <c r="C286" i="28"/>
  <c r="C285" i="28"/>
  <c r="C284" i="28"/>
  <c r="C283" i="28"/>
  <c r="C282" i="28"/>
  <c r="C281" i="28"/>
  <c r="C280" i="28"/>
  <c r="C279" i="28"/>
  <c r="C278" i="28"/>
  <c r="C277" i="28"/>
  <c r="C276" i="28"/>
  <c r="C275" i="28"/>
  <c r="C274" i="28"/>
  <c r="C273" i="28"/>
  <c r="C272" i="28"/>
  <c r="C271" i="28"/>
  <c r="C270" i="28"/>
  <c r="C269" i="28"/>
  <c r="C268" i="28"/>
  <c r="C267" i="28"/>
  <c r="C266" i="28"/>
  <c r="C265" i="28"/>
  <c r="C264" i="28"/>
  <c r="C263" i="28"/>
  <c r="C262" i="28"/>
  <c r="C261" i="28"/>
  <c r="C260" i="28"/>
  <c r="C259" i="28"/>
  <c r="C258" i="28"/>
  <c r="C257" i="28"/>
  <c r="C256" i="28"/>
  <c r="C255" i="28"/>
  <c r="C254" i="28"/>
  <c r="C253" i="28"/>
  <c r="C252" i="28"/>
  <c r="C251" i="28"/>
  <c r="C250" i="28"/>
  <c r="C249" i="28"/>
  <c r="C248" i="28"/>
  <c r="C246" i="28"/>
  <c r="C247" i="28"/>
  <c r="C245" i="28"/>
  <c r="C244" i="28"/>
  <c r="C243" i="28"/>
  <c r="C242" i="28"/>
  <c r="C241" i="28"/>
  <c r="C240" i="28"/>
  <c r="C239" i="28"/>
  <c r="C238" i="28"/>
  <c r="C237" i="28"/>
  <c r="C236" i="28"/>
  <c r="C235" i="28"/>
  <c r="C234" i="28"/>
  <c r="C233" i="28"/>
  <c r="C232" i="28"/>
  <c r="C231" i="28"/>
  <c r="C230" i="28"/>
  <c r="C229" i="28"/>
  <c r="C228" i="28"/>
  <c r="C227" i="28"/>
  <c r="C226" i="28"/>
  <c r="C225" i="28"/>
  <c r="C224" i="28"/>
  <c r="C124" i="28"/>
  <c r="C223" i="28"/>
  <c r="C222" i="28"/>
  <c r="C221" i="28"/>
  <c r="C220" i="28"/>
  <c r="C219" i="28"/>
  <c r="C218" i="28"/>
  <c r="C217" i="28"/>
  <c r="C216" i="28"/>
  <c r="C215" i="28"/>
  <c r="C214" i="28"/>
  <c r="C213" i="28"/>
  <c r="C212" i="28"/>
  <c r="C211" i="28"/>
  <c r="C210" i="28"/>
  <c r="C209" i="28"/>
  <c r="C208" i="28"/>
  <c r="C207" i="28"/>
  <c r="C206" i="28"/>
  <c r="C205" i="28"/>
  <c r="C204" i="28"/>
  <c r="C203" i="28"/>
  <c r="C202" i="28"/>
  <c r="C201" i="28"/>
  <c r="C200" i="28"/>
  <c r="C199" i="28"/>
  <c r="C198" i="28"/>
  <c r="C197" i="28"/>
  <c r="C196" i="28"/>
  <c r="C195" i="28"/>
  <c r="C194" i="28"/>
  <c r="C193" i="28"/>
  <c r="C192" i="28"/>
  <c r="C191" i="28"/>
  <c r="C190" i="28"/>
  <c r="C189" i="28"/>
  <c r="C188" i="28"/>
  <c r="C187" i="28"/>
  <c r="C186" i="28"/>
  <c r="C185" i="28"/>
  <c r="C184" i="28"/>
  <c r="C183" i="28"/>
  <c r="C182" i="28"/>
  <c r="C181" i="28"/>
  <c r="C180" i="28"/>
  <c r="C179" i="28"/>
  <c r="C178" i="28"/>
  <c r="C177" i="28"/>
  <c r="C176" i="28"/>
  <c r="C175" i="28"/>
  <c r="C174" i="28"/>
  <c r="C173" i="28"/>
  <c r="C172" i="28"/>
  <c r="C171" i="28"/>
  <c r="C170" i="28"/>
  <c r="C169" i="28"/>
  <c r="C168" i="28"/>
  <c r="C167" i="28"/>
  <c r="C166" i="28"/>
  <c r="C165" i="28"/>
  <c r="C164" i="28"/>
  <c r="C163" i="28"/>
  <c r="C162" i="28"/>
  <c r="C161" i="28"/>
  <c r="C160" i="28"/>
  <c r="C159" i="28"/>
  <c r="C158" i="28"/>
  <c r="C157" i="28"/>
  <c r="C156" i="28"/>
  <c r="C155" i="28"/>
  <c r="C154" i="28"/>
  <c r="C153" i="28"/>
  <c r="C152" i="28"/>
  <c r="C151" i="28"/>
  <c r="C150" i="28"/>
  <c r="C149" i="28"/>
  <c r="C148" i="28"/>
  <c r="C147" i="28"/>
  <c r="C146" i="28"/>
  <c r="C145" i="28"/>
  <c r="C144" i="28"/>
  <c r="C143" i="28"/>
  <c r="C142" i="28"/>
  <c r="C141" i="28"/>
  <c r="C140" i="28"/>
  <c r="C139" i="28"/>
  <c r="C138" i="28"/>
  <c r="C137" i="28"/>
  <c r="C136" i="28"/>
  <c r="C135" i="28"/>
  <c r="C134" i="28"/>
  <c r="C133" i="28"/>
  <c r="C132" i="28"/>
  <c r="C131" i="28"/>
  <c r="C130" i="28"/>
  <c r="C129" i="28"/>
  <c r="C128" i="28"/>
  <c r="C127" i="28"/>
  <c r="C126" i="28"/>
  <c r="C125" i="28"/>
  <c r="C123" i="28"/>
  <c r="C122" i="28"/>
  <c r="C121" i="28"/>
  <c r="C120" i="28"/>
  <c r="C119" i="28"/>
  <c r="C118" i="28"/>
  <c r="C117" i="28"/>
  <c r="C116" i="28"/>
  <c r="C115" i="28"/>
  <c r="C114" i="28"/>
  <c r="C113" i="28"/>
  <c r="C112" i="28"/>
  <c r="C111" i="28"/>
  <c r="C110" i="28"/>
  <c r="C109" i="28"/>
  <c r="C108" i="28"/>
  <c r="C107" i="28"/>
  <c r="C106" i="28"/>
  <c r="C105" i="28"/>
  <c r="C104" i="28"/>
  <c r="C103" i="28"/>
  <c r="C102" i="28"/>
  <c r="C101" i="28"/>
  <c r="C100" i="28"/>
  <c r="C99" i="28"/>
  <c r="C98" i="28"/>
  <c r="C97" i="28"/>
  <c r="C96" i="28"/>
  <c r="C95" i="28"/>
  <c r="C94" i="28"/>
  <c r="C93" i="28"/>
  <c r="C92" i="28"/>
  <c r="C91" i="28"/>
  <c r="C90" i="28"/>
  <c r="C89" i="28"/>
  <c r="C88" i="28"/>
  <c r="C87" i="28"/>
  <c r="C86" i="28"/>
  <c r="C85" i="28"/>
  <c r="C84" i="28"/>
  <c r="C83" i="28"/>
  <c r="C82" i="28"/>
  <c r="C81" i="28"/>
  <c r="C80" i="28"/>
  <c r="C79" i="28"/>
  <c r="C78" i="28"/>
  <c r="C77" i="28"/>
  <c r="C76" i="28"/>
  <c r="C75" i="28"/>
  <c r="C74" i="28"/>
  <c r="C73" i="28"/>
  <c r="C72" i="28"/>
  <c r="C71" i="28"/>
  <c r="C70" i="28"/>
  <c r="C69" i="28"/>
  <c r="C68" i="28"/>
  <c r="C67" i="28"/>
  <c r="C66" i="28"/>
  <c r="C65" i="28"/>
  <c r="C64" i="28"/>
  <c r="C63" i="28"/>
  <c r="C62" i="28"/>
  <c r="C61" i="28"/>
  <c r="C60" i="28"/>
  <c r="C59" i="28"/>
  <c r="C58" i="28"/>
  <c r="C57" i="28"/>
  <c r="C56" i="28"/>
  <c r="C55" i="28"/>
  <c r="C54" i="28"/>
  <c r="C53" i="28"/>
  <c r="C52" i="28"/>
  <c r="C51" i="28"/>
  <c r="C50" i="28"/>
  <c r="C49" i="28"/>
  <c r="C48" i="28"/>
  <c r="C47" i="28"/>
  <c r="C46" i="28"/>
  <c r="C45" i="28"/>
  <c r="C44" i="28"/>
  <c r="C43" i="28"/>
  <c r="C42" i="28"/>
  <c r="C41" i="28"/>
  <c r="C40" i="28"/>
  <c r="C39" i="28"/>
  <c r="C38" i="28"/>
  <c r="C37" i="28"/>
  <c r="C36" i="28"/>
  <c r="C35" i="28"/>
  <c r="C34" i="28"/>
  <c r="C33" i="28"/>
  <c r="C32" i="28"/>
  <c r="C31" i="28"/>
  <c r="C30" i="28"/>
  <c r="C29" i="28"/>
  <c r="C28" i="28"/>
  <c r="C27" i="28"/>
  <c r="C26" i="28"/>
  <c r="C25" i="28"/>
  <c r="C24" i="28"/>
  <c r="C23" i="28"/>
  <c r="C22" i="28"/>
  <c r="C21" i="28"/>
  <c r="C20" i="28"/>
  <c r="C19" i="28"/>
  <c r="C18" i="28"/>
  <c r="C17" i="28"/>
  <c r="C16" i="28"/>
  <c r="C15" i="28"/>
  <c r="C14" i="28"/>
  <c r="C13" i="28"/>
  <c r="C12" i="28"/>
  <c r="C11" i="28"/>
  <c r="C10" i="28"/>
  <c r="C9" i="28"/>
  <c r="C8" i="28"/>
  <c r="C7" i="28"/>
  <c r="AO6" i="28"/>
  <c r="AN6" i="28"/>
  <c r="AJ6" i="28"/>
  <c r="AI6" i="28"/>
  <c r="AE6" i="28"/>
  <c r="AD6" i="28"/>
  <c r="AC6" i="28"/>
  <c r="AB6" i="28"/>
  <c r="AA6" i="28"/>
  <c r="Z6" i="28"/>
  <c r="Y6" i="28"/>
  <c r="X6" i="28"/>
  <c r="W6" i="28"/>
  <c r="V6" i="28"/>
  <c r="U6" i="28"/>
  <c r="T6" i="28"/>
  <c r="S6" i="28"/>
  <c r="R6" i="28"/>
  <c r="Q6" i="28"/>
  <c r="P6" i="28"/>
  <c r="M6" i="28"/>
  <c r="L6" i="28"/>
  <c r="K6" i="28"/>
  <c r="J6" i="28"/>
  <c r="I6" i="28"/>
  <c r="H6" i="28"/>
  <c r="G6" i="28"/>
  <c r="F6" i="28"/>
  <c r="E6" i="28"/>
  <c r="D6" i="28"/>
  <c r="A4" i="28" l="1"/>
  <c r="AG6" i="28"/>
  <c r="AF6" i="28"/>
  <c r="AL6" i="28"/>
  <c r="AK6" i="28"/>
  <c r="A337" i="28"/>
  <c r="E10" i="56"/>
  <c r="E14" i="56" s="1"/>
  <c r="E19" i="56" s="1"/>
  <c r="D10" i="56"/>
  <c r="D14" i="56" s="1"/>
  <c r="C10" i="56"/>
  <c r="C14" i="56" s="1"/>
  <c r="C19" i="56" s="1"/>
  <c r="C21" i="56" s="1"/>
  <c r="F11" i="56"/>
  <c r="F12" i="56"/>
  <c r="B14" i="56"/>
  <c r="B19" i="56" s="1"/>
  <c r="F6" i="56"/>
  <c r="S7" i="50"/>
  <c r="O7" i="50"/>
  <c r="R337" i="50"/>
  <c r="R336" i="50"/>
  <c r="R335" i="50"/>
  <c r="R334" i="50"/>
  <c r="R333" i="50"/>
  <c r="R332" i="50"/>
  <c r="R331" i="50"/>
  <c r="R330" i="50"/>
  <c r="R329" i="50"/>
  <c r="R328" i="50"/>
  <c r="R327" i="50"/>
  <c r="R326" i="50"/>
  <c r="R325" i="50"/>
  <c r="R324" i="50"/>
  <c r="R323" i="50"/>
  <c r="R322" i="50"/>
  <c r="R321" i="50"/>
  <c r="R320" i="50"/>
  <c r="R319" i="50"/>
  <c r="R318" i="50"/>
  <c r="R317" i="50"/>
  <c r="R316" i="50"/>
  <c r="R315" i="50"/>
  <c r="R314" i="50"/>
  <c r="R313" i="50"/>
  <c r="R312" i="50"/>
  <c r="R311" i="50"/>
  <c r="R310" i="50"/>
  <c r="R309" i="50"/>
  <c r="R308" i="50"/>
  <c r="R307" i="50"/>
  <c r="R306" i="50"/>
  <c r="R305" i="50"/>
  <c r="R304" i="50"/>
  <c r="R303" i="50"/>
  <c r="R302" i="50"/>
  <c r="R301" i="50"/>
  <c r="R300" i="50"/>
  <c r="R299" i="50"/>
  <c r="R298" i="50"/>
  <c r="R297" i="50"/>
  <c r="R296" i="50"/>
  <c r="R295" i="50"/>
  <c r="R294" i="50"/>
  <c r="R293" i="50"/>
  <c r="R292" i="50"/>
  <c r="R291" i="50"/>
  <c r="R290" i="50"/>
  <c r="R289" i="50"/>
  <c r="R288" i="50"/>
  <c r="R287" i="50"/>
  <c r="R286" i="50"/>
  <c r="R284" i="50"/>
  <c r="R283" i="50"/>
  <c r="R282" i="50"/>
  <c r="R285" i="50"/>
  <c r="R281" i="50"/>
  <c r="R280" i="50"/>
  <c r="R279" i="50"/>
  <c r="R278" i="50"/>
  <c r="R277" i="50"/>
  <c r="R276" i="50"/>
  <c r="R275" i="50"/>
  <c r="R274" i="50"/>
  <c r="R273" i="50"/>
  <c r="R272" i="50"/>
  <c r="R271" i="50"/>
  <c r="R270" i="50"/>
  <c r="R269" i="50"/>
  <c r="R268" i="50"/>
  <c r="R267" i="50"/>
  <c r="R266" i="50"/>
  <c r="R265" i="50"/>
  <c r="R264" i="50"/>
  <c r="R263" i="50"/>
  <c r="R262" i="50"/>
  <c r="R261" i="50"/>
  <c r="R260" i="50"/>
  <c r="R259" i="50"/>
  <c r="R258" i="50"/>
  <c r="R257" i="50"/>
  <c r="R256" i="50"/>
  <c r="R255" i="50"/>
  <c r="R254" i="50"/>
  <c r="R253" i="50"/>
  <c r="R252" i="50"/>
  <c r="R251" i="50"/>
  <c r="R250" i="50"/>
  <c r="R249" i="50"/>
  <c r="R247" i="50"/>
  <c r="R246" i="50"/>
  <c r="R245" i="50"/>
  <c r="R244" i="50"/>
  <c r="R243" i="50"/>
  <c r="R242" i="50"/>
  <c r="R241" i="50"/>
  <c r="R240" i="50"/>
  <c r="R239" i="50"/>
  <c r="R238" i="50"/>
  <c r="R237" i="50"/>
  <c r="R236" i="50"/>
  <c r="R235" i="50"/>
  <c r="R234" i="50"/>
  <c r="R233" i="50"/>
  <c r="R232" i="50"/>
  <c r="R231" i="50"/>
  <c r="R230" i="50"/>
  <c r="R229" i="50"/>
  <c r="R228" i="50"/>
  <c r="R227" i="50"/>
  <c r="R226" i="50"/>
  <c r="R225" i="50"/>
  <c r="R125" i="50"/>
  <c r="R224" i="50"/>
  <c r="R223" i="50"/>
  <c r="R222" i="50"/>
  <c r="R221" i="50"/>
  <c r="R220" i="50"/>
  <c r="R219" i="50"/>
  <c r="R218" i="50"/>
  <c r="R217" i="50"/>
  <c r="R216" i="50"/>
  <c r="R215" i="50"/>
  <c r="R214" i="50"/>
  <c r="R212" i="50"/>
  <c r="R211" i="50"/>
  <c r="R210" i="50"/>
  <c r="R209" i="50"/>
  <c r="R208" i="50"/>
  <c r="R207" i="50"/>
  <c r="R206" i="50"/>
  <c r="R205" i="50"/>
  <c r="R204" i="50"/>
  <c r="R203" i="50"/>
  <c r="R202" i="50"/>
  <c r="R201" i="50"/>
  <c r="R200" i="50"/>
  <c r="R199" i="50"/>
  <c r="R198" i="50"/>
  <c r="R197" i="50"/>
  <c r="R196" i="50"/>
  <c r="R195" i="50"/>
  <c r="R194" i="50"/>
  <c r="R193" i="50"/>
  <c r="R192" i="50"/>
  <c r="R191" i="50"/>
  <c r="R190" i="50"/>
  <c r="R189" i="50"/>
  <c r="R188" i="50"/>
  <c r="R187" i="50"/>
  <c r="R186" i="50"/>
  <c r="R185" i="50"/>
  <c r="R184" i="50"/>
  <c r="R183" i="50"/>
  <c r="R182" i="50"/>
  <c r="R181" i="50"/>
  <c r="R180" i="50"/>
  <c r="R179" i="50"/>
  <c r="R178" i="50"/>
  <c r="R177" i="50"/>
  <c r="R176" i="50"/>
  <c r="R175" i="50"/>
  <c r="R174" i="50"/>
  <c r="R173" i="50"/>
  <c r="R172" i="50"/>
  <c r="R171" i="50"/>
  <c r="R170" i="50"/>
  <c r="R169" i="50"/>
  <c r="R168" i="50"/>
  <c r="R167" i="50"/>
  <c r="R166" i="50"/>
  <c r="R165" i="50"/>
  <c r="R164" i="50"/>
  <c r="R163" i="50"/>
  <c r="R162" i="50"/>
  <c r="R161" i="50"/>
  <c r="R160" i="50"/>
  <c r="R159" i="50"/>
  <c r="R158" i="50"/>
  <c r="R157" i="50"/>
  <c r="R156" i="50"/>
  <c r="R155" i="50"/>
  <c r="R154" i="50"/>
  <c r="R153" i="50"/>
  <c r="R152" i="50"/>
  <c r="R151" i="50"/>
  <c r="R150" i="50"/>
  <c r="R149" i="50"/>
  <c r="R148" i="50"/>
  <c r="R147" i="50"/>
  <c r="R146" i="50"/>
  <c r="R145" i="50"/>
  <c r="R144" i="50"/>
  <c r="R143" i="50"/>
  <c r="R142" i="50"/>
  <c r="R141" i="50"/>
  <c r="R140" i="50"/>
  <c r="R139" i="50"/>
  <c r="R138" i="50"/>
  <c r="R137" i="50"/>
  <c r="R136" i="50"/>
  <c r="R135" i="50"/>
  <c r="R134" i="50"/>
  <c r="R133" i="50"/>
  <c r="R132" i="50"/>
  <c r="R131" i="50"/>
  <c r="R130" i="50"/>
  <c r="R129" i="50"/>
  <c r="R128" i="50"/>
  <c r="R127" i="50"/>
  <c r="R126" i="50"/>
  <c r="R124" i="50"/>
  <c r="R123" i="50"/>
  <c r="R122" i="50"/>
  <c r="R121" i="50"/>
  <c r="R120" i="50"/>
  <c r="R118" i="50"/>
  <c r="R117" i="50"/>
  <c r="R116" i="50"/>
  <c r="R115" i="50"/>
  <c r="R114" i="50"/>
  <c r="R113" i="50"/>
  <c r="R112" i="50"/>
  <c r="R111" i="50"/>
  <c r="R110" i="50"/>
  <c r="R109" i="50"/>
  <c r="R108" i="50"/>
  <c r="R107" i="50"/>
  <c r="R106" i="50"/>
  <c r="R105" i="50"/>
  <c r="R104" i="50"/>
  <c r="R103" i="50"/>
  <c r="R102" i="50"/>
  <c r="R101" i="50"/>
  <c r="R100" i="50"/>
  <c r="R99" i="50"/>
  <c r="R98" i="50"/>
  <c r="R97" i="50"/>
  <c r="R96" i="50"/>
  <c r="R95" i="50"/>
  <c r="R94" i="50"/>
  <c r="R93" i="50"/>
  <c r="R92" i="50"/>
  <c r="R91" i="50"/>
  <c r="R90" i="50"/>
  <c r="R89" i="50"/>
  <c r="R88" i="50"/>
  <c r="R87" i="50"/>
  <c r="R86" i="50"/>
  <c r="R85" i="50"/>
  <c r="R84" i="50"/>
  <c r="R83" i="50"/>
  <c r="R82" i="50"/>
  <c r="R81" i="50"/>
  <c r="R80" i="50"/>
  <c r="R79" i="50"/>
  <c r="R78" i="50"/>
  <c r="R77" i="50"/>
  <c r="R76" i="50"/>
  <c r="R75" i="50"/>
  <c r="R74" i="50"/>
  <c r="R73" i="50"/>
  <c r="R72" i="50"/>
  <c r="R71" i="50"/>
  <c r="R70" i="50"/>
  <c r="R69" i="50"/>
  <c r="R68" i="50"/>
  <c r="R67" i="50"/>
  <c r="R66" i="50"/>
  <c r="R65" i="50"/>
  <c r="R64" i="50"/>
  <c r="R63" i="50"/>
  <c r="R62" i="50"/>
  <c r="R61" i="50"/>
  <c r="R60" i="50"/>
  <c r="R59" i="50"/>
  <c r="R58" i="50"/>
  <c r="R57" i="50"/>
  <c r="R56" i="50"/>
  <c r="R55" i="50"/>
  <c r="R54" i="50"/>
  <c r="R53" i="50"/>
  <c r="R52" i="50"/>
  <c r="R51" i="50"/>
  <c r="R50" i="50"/>
  <c r="R49" i="50"/>
  <c r="R48" i="50"/>
  <c r="R47" i="50"/>
  <c r="R46" i="50"/>
  <c r="R45" i="50"/>
  <c r="R44" i="50"/>
  <c r="R43" i="50"/>
  <c r="R42" i="50"/>
  <c r="R41" i="50"/>
  <c r="R40" i="50"/>
  <c r="R39" i="50"/>
  <c r="R38" i="50"/>
  <c r="R37" i="50"/>
  <c r="R36" i="50"/>
  <c r="R35" i="50"/>
  <c r="R34" i="50"/>
  <c r="R33" i="50"/>
  <c r="R32" i="50"/>
  <c r="R31" i="50"/>
  <c r="R30" i="50"/>
  <c r="R29" i="50"/>
  <c r="R28" i="50"/>
  <c r="R27" i="50"/>
  <c r="R26" i="50"/>
  <c r="R25" i="50"/>
  <c r="R24" i="50"/>
  <c r="R23" i="50"/>
  <c r="R22" i="50"/>
  <c r="R21" i="50"/>
  <c r="R20" i="50"/>
  <c r="R19" i="50"/>
  <c r="R18" i="50"/>
  <c r="R17" i="50"/>
  <c r="R16" i="50"/>
  <c r="R15" i="50"/>
  <c r="R14" i="50"/>
  <c r="R13" i="50"/>
  <c r="R12" i="50"/>
  <c r="R11" i="50"/>
  <c r="R10" i="50"/>
  <c r="R9" i="50"/>
  <c r="R8" i="50"/>
  <c r="N337" i="50"/>
  <c r="J337" i="50"/>
  <c r="F337" i="50"/>
  <c r="N336" i="50"/>
  <c r="J336" i="50"/>
  <c r="F336" i="50"/>
  <c r="N335" i="50"/>
  <c r="J335" i="50"/>
  <c r="F335" i="50"/>
  <c r="N334" i="50"/>
  <c r="J334" i="50"/>
  <c r="F334" i="50"/>
  <c r="N333" i="50"/>
  <c r="J333" i="50"/>
  <c r="F333" i="50"/>
  <c r="N332" i="50"/>
  <c r="J332" i="50"/>
  <c r="F332" i="50"/>
  <c r="N331" i="50"/>
  <c r="J331" i="50"/>
  <c r="F331" i="50"/>
  <c r="N330" i="50"/>
  <c r="J330" i="50"/>
  <c r="F330" i="50"/>
  <c r="N329" i="50"/>
  <c r="J329" i="50"/>
  <c r="F329" i="50"/>
  <c r="N328" i="50"/>
  <c r="J328" i="50"/>
  <c r="F328" i="50"/>
  <c r="N327" i="50"/>
  <c r="J327" i="50"/>
  <c r="F327" i="50"/>
  <c r="N326" i="50"/>
  <c r="N325" i="50"/>
  <c r="J325" i="50"/>
  <c r="F325" i="50"/>
  <c r="N324" i="50"/>
  <c r="J324" i="50"/>
  <c r="F324" i="50"/>
  <c r="N323" i="50"/>
  <c r="J323" i="50"/>
  <c r="F323" i="50"/>
  <c r="N322" i="50"/>
  <c r="N321" i="50"/>
  <c r="J321" i="50"/>
  <c r="F321" i="50"/>
  <c r="N320" i="50"/>
  <c r="J320" i="50"/>
  <c r="F320" i="50"/>
  <c r="N319" i="50"/>
  <c r="J319" i="50"/>
  <c r="F319" i="50"/>
  <c r="N318" i="50"/>
  <c r="J318" i="50"/>
  <c r="F318" i="50"/>
  <c r="N317" i="50"/>
  <c r="J317" i="50"/>
  <c r="F317" i="50"/>
  <c r="N316" i="50"/>
  <c r="J316" i="50"/>
  <c r="F316" i="50"/>
  <c r="N315" i="50"/>
  <c r="J315" i="50"/>
  <c r="F315" i="50"/>
  <c r="N314" i="50"/>
  <c r="J314" i="50"/>
  <c r="F314" i="50"/>
  <c r="N313" i="50"/>
  <c r="J313" i="50"/>
  <c r="F313" i="50"/>
  <c r="N312" i="50"/>
  <c r="J312" i="50"/>
  <c r="F312" i="50"/>
  <c r="N311" i="50"/>
  <c r="J311" i="50"/>
  <c r="F311" i="50"/>
  <c r="N310" i="50"/>
  <c r="J310" i="50"/>
  <c r="F310" i="50"/>
  <c r="N309" i="50"/>
  <c r="J309" i="50"/>
  <c r="F309" i="50"/>
  <c r="N308" i="50"/>
  <c r="J308" i="50"/>
  <c r="F308" i="50"/>
  <c r="N307" i="50"/>
  <c r="J307" i="50"/>
  <c r="F307" i="50"/>
  <c r="N306" i="50"/>
  <c r="J306" i="50"/>
  <c r="F306" i="50"/>
  <c r="N305" i="50"/>
  <c r="J305" i="50"/>
  <c r="F305" i="50"/>
  <c r="N304" i="50"/>
  <c r="J304" i="50"/>
  <c r="F304" i="50"/>
  <c r="N303" i="50"/>
  <c r="J303" i="50"/>
  <c r="F303" i="50"/>
  <c r="N302" i="50"/>
  <c r="J302" i="50"/>
  <c r="F302" i="50"/>
  <c r="N301" i="50"/>
  <c r="J301" i="50"/>
  <c r="F301" i="50"/>
  <c r="N300" i="50"/>
  <c r="J300" i="50"/>
  <c r="F300" i="50"/>
  <c r="N299" i="50"/>
  <c r="J299" i="50"/>
  <c r="F299" i="50"/>
  <c r="N298" i="50"/>
  <c r="J298" i="50"/>
  <c r="F298" i="50"/>
  <c r="N297" i="50"/>
  <c r="J297" i="50"/>
  <c r="F297" i="50"/>
  <c r="N296" i="50"/>
  <c r="J296" i="50"/>
  <c r="F296" i="50"/>
  <c r="N295" i="50"/>
  <c r="J295" i="50"/>
  <c r="F295" i="50"/>
  <c r="N294" i="50"/>
  <c r="J294" i="50"/>
  <c r="F294" i="50"/>
  <c r="N293" i="50"/>
  <c r="J293" i="50"/>
  <c r="F293" i="50"/>
  <c r="N292" i="50"/>
  <c r="J292" i="50"/>
  <c r="F292" i="50"/>
  <c r="N291" i="50"/>
  <c r="J291" i="50"/>
  <c r="F291" i="50"/>
  <c r="N290" i="50"/>
  <c r="J290" i="50"/>
  <c r="F290" i="50"/>
  <c r="N289" i="50"/>
  <c r="J289" i="50"/>
  <c r="F289" i="50"/>
  <c r="N288" i="50"/>
  <c r="J288" i="50"/>
  <c r="F288" i="50"/>
  <c r="N287" i="50"/>
  <c r="J287" i="50"/>
  <c r="F287" i="50"/>
  <c r="N286" i="50"/>
  <c r="J286" i="50"/>
  <c r="F286" i="50"/>
  <c r="N284" i="50"/>
  <c r="J284" i="50"/>
  <c r="F284" i="50"/>
  <c r="N283" i="50"/>
  <c r="J283" i="50"/>
  <c r="F283" i="50"/>
  <c r="N282" i="50"/>
  <c r="J282" i="50"/>
  <c r="F282" i="50"/>
  <c r="N285" i="50"/>
  <c r="J285" i="50"/>
  <c r="F285" i="50"/>
  <c r="N281" i="50"/>
  <c r="J281" i="50"/>
  <c r="F281" i="50"/>
  <c r="N280" i="50"/>
  <c r="J280" i="50"/>
  <c r="F280" i="50"/>
  <c r="N279" i="50"/>
  <c r="J279" i="50"/>
  <c r="F279" i="50"/>
  <c r="N278" i="50"/>
  <c r="J278" i="50"/>
  <c r="F278" i="50"/>
  <c r="N277" i="50"/>
  <c r="J277" i="50"/>
  <c r="F277" i="50"/>
  <c r="N276" i="50"/>
  <c r="J276" i="50"/>
  <c r="F276" i="50"/>
  <c r="N275" i="50"/>
  <c r="J275" i="50"/>
  <c r="F275" i="50"/>
  <c r="N274" i="50"/>
  <c r="J274" i="50"/>
  <c r="F274" i="50"/>
  <c r="N273" i="50"/>
  <c r="J273" i="50"/>
  <c r="F273" i="50"/>
  <c r="N272" i="50"/>
  <c r="J272" i="50"/>
  <c r="F272" i="50"/>
  <c r="N271" i="50"/>
  <c r="J271" i="50"/>
  <c r="F271" i="50"/>
  <c r="N270" i="50"/>
  <c r="J270" i="50"/>
  <c r="F270" i="50"/>
  <c r="N269" i="50"/>
  <c r="J269" i="50"/>
  <c r="F269" i="50"/>
  <c r="N268" i="50"/>
  <c r="J268" i="50"/>
  <c r="F268" i="50"/>
  <c r="N267" i="50"/>
  <c r="J267" i="50"/>
  <c r="F267" i="50"/>
  <c r="N266" i="50"/>
  <c r="J266" i="50"/>
  <c r="F266" i="50"/>
  <c r="N265" i="50"/>
  <c r="J265" i="50"/>
  <c r="F265" i="50"/>
  <c r="N264" i="50"/>
  <c r="J264" i="50"/>
  <c r="F264" i="50"/>
  <c r="N263" i="50"/>
  <c r="J263" i="50"/>
  <c r="F263" i="50"/>
  <c r="N262" i="50"/>
  <c r="J262" i="50"/>
  <c r="F262" i="50"/>
  <c r="N261" i="50"/>
  <c r="J261" i="50"/>
  <c r="F261" i="50"/>
  <c r="N260" i="50"/>
  <c r="J260" i="50"/>
  <c r="F260" i="50"/>
  <c r="N259" i="50"/>
  <c r="J259" i="50"/>
  <c r="F259" i="50"/>
  <c r="N258" i="50"/>
  <c r="J258" i="50"/>
  <c r="F258" i="50"/>
  <c r="N257" i="50"/>
  <c r="J257" i="50"/>
  <c r="F257" i="50"/>
  <c r="N256" i="50"/>
  <c r="J256" i="50"/>
  <c r="F256" i="50"/>
  <c r="N255" i="50"/>
  <c r="J255" i="50"/>
  <c r="F255" i="50"/>
  <c r="N254" i="50"/>
  <c r="J254" i="50"/>
  <c r="F254" i="50"/>
  <c r="N253" i="50"/>
  <c r="J253" i="50"/>
  <c r="F253" i="50"/>
  <c r="N252" i="50"/>
  <c r="J252" i="50"/>
  <c r="F252" i="50"/>
  <c r="N251" i="50"/>
  <c r="J251" i="50"/>
  <c r="F251" i="50"/>
  <c r="N250" i="50"/>
  <c r="J250" i="50"/>
  <c r="F250" i="50"/>
  <c r="N249" i="50"/>
  <c r="J249" i="50"/>
  <c r="F249" i="50"/>
  <c r="N247" i="50"/>
  <c r="J247" i="50"/>
  <c r="F247" i="50"/>
  <c r="N246" i="50"/>
  <c r="J246" i="50"/>
  <c r="F246" i="50"/>
  <c r="N245" i="50"/>
  <c r="J245" i="50"/>
  <c r="F245" i="50"/>
  <c r="N244" i="50"/>
  <c r="J244" i="50"/>
  <c r="F244" i="50"/>
  <c r="N243" i="50"/>
  <c r="J243" i="50"/>
  <c r="F243" i="50"/>
  <c r="N242" i="50"/>
  <c r="J242" i="50"/>
  <c r="F242" i="50"/>
  <c r="N241" i="50"/>
  <c r="J241" i="50"/>
  <c r="F241" i="50"/>
  <c r="N240" i="50"/>
  <c r="J240" i="50"/>
  <c r="F240" i="50"/>
  <c r="N239" i="50"/>
  <c r="J239" i="50"/>
  <c r="F239" i="50"/>
  <c r="N238" i="50"/>
  <c r="J238" i="50"/>
  <c r="F238" i="50"/>
  <c r="N237" i="50"/>
  <c r="J237" i="50"/>
  <c r="F237" i="50"/>
  <c r="N236" i="50"/>
  <c r="J236" i="50"/>
  <c r="F236" i="50"/>
  <c r="N235" i="50"/>
  <c r="J235" i="50"/>
  <c r="F235" i="50"/>
  <c r="N234" i="50"/>
  <c r="J234" i="50"/>
  <c r="F234" i="50"/>
  <c r="N233" i="50"/>
  <c r="J233" i="50"/>
  <c r="F233" i="50"/>
  <c r="N232" i="50"/>
  <c r="J232" i="50"/>
  <c r="F232" i="50"/>
  <c r="N231" i="50"/>
  <c r="J231" i="50"/>
  <c r="F231" i="50"/>
  <c r="N230" i="50"/>
  <c r="J230" i="50"/>
  <c r="F230" i="50"/>
  <c r="N229" i="50"/>
  <c r="J229" i="50"/>
  <c r="F229" i="50"/>
  <c r="N228" i="50"/>
  <c r="J228" i="50"/>
  <c r="F228" i="50"/>
  <c r="N227" i="50"/>
  <c r="J227" i="50"/>
  <c r="F227" i="50"/>
  <c r="N226" i="50"/>
  <c r="J226" i="50"/>
  <c r="F226" i="50"/>
  <c r="N225" i="50"/>
  <c r="J225" i="50"/>
  <c r="F225" i="50"/>
  <c r="N125" i="50"/>
  <c r="J125" i="50"/>
  <c r="F125" i="50"/>
  <c r="N224" i="50"/>
  <c r="J224" i="50"/>
  <c r="F224" i="50"/>
  <c r="N223" i="50"/>
  <c r="J223" i="50"/>
  <c r="F223" i="50"/>
  <c r="N222" i="50"/>
  <c r="J222" i="50"/>
  <c r="F222" i="50"/>
  <c r="N221" i="50"/>
  <c r="J221" i="50"/>
  <c r="F221" i="50"/>
  <c r="N220" i="50"/>
  <c r="J220" i="50"/>
  <c r="F220" i="50"/>
  <c r="N219" i="50"/>
  <c r="N218" i="50"/>
  <c r="J218" i="50"/>
  <c r="F218" i="50"/>
  <c r="N217" i="50"/>
  <c r="J217" i="50"/>
  <c r="F217" i="50"/>
  <c r="N216" i="50"/>
  <c r="J216" i="50"/>
  <c r="F216" i="50"/>
  <c r="N215" i="50"/>
  <c r="J215" i="50"/>
  <c r="F215" i="50"/>
  <c r="N214" i="50"/>
  <c r="J214" i="50"/>
  <c r="F214" i="50"/>
  <c r="N212" i="50"/>
  <c r="J212" i="50"/>
  <c r="F212" i="50"/>
  <c r="N211" i="50"/>
  <c r="J211" i="50"/>
  <c r="F211" i="50"/>
  <c r="N210" i="50"/>
  <c r="J210" i="50"/>
  <c r="F210" i="50"/>
  <c r="N209" i="50"/>
  <c r="J209" i="50"/>
  <c r="F209" i="50"/>
  <c r="N208" i="50"/>
  <c r="J208" i="50"/>
  <c r="F208" i="50"/>
  <c r="N207" i="50"/>
  <c r="J207" i="50"/>
  <c r="F207" i="50"/>
  <c r="N206" i="50"/>
  <c r="J206" i="50"/>
  <c r="F206" i="50"/>
  <c r="N205" i="50"/>
  <c r="J205" i="50"/>
  <c r="F205" i="50"/>
  <c r="N204" i="50"/>
  <c r="J204" i="50"/>
  <c r="F204" i="50"/>
  <c r="N203" i="50"/>
  <c r="J203" i="50"/>
  <c r="F203" i="50"/>
  <c r="N202" i="50"/>
  <c r="J202" i="50"/>
  <c r="F202" i="50"/>
  <c r="N201" i="50"/>
  <c r="J201" i="50"/>
  <c r="F201" i="50"/>
  <c r="N200" i="50"/>
  <c r="J200" i="50"/>
  <c r="F200" i="50"/>
  <c r="N199" i="50"/>
  <c r="J199" i="50"/>
  <c r="F199" i="50"/>
  <c r="N198" i="50"/>
  <c r="J198" i="50"/>
  <c r="F198" i="50"/>
  <c r="N197" i="50"/>
  <c r="J197" i="50"/>
  <c r="F197" i="50"/>
  <c r="N196" i="50"/>
  <c r="J196" i="50"/>
  <c r="F196" i="50"/>
  <c r="N195" i="50"/>
  <c r="J195" i="50"/>
  <c r="F195" i="50"/>
  <c r="N194" i="50"/>
  <c r="J194" i="50"/>
  <c r="F194" i="50"/>
  <c r="N193" i="50"/>
  <c r="J193" i="50"/>
  <c r="F193" i="50"/>
  <c r="N192" i="50"/>
  <c r="J192" i="50"/>
  <c r="F192" i="50"/>
  <c r="N191" i="50"/>
  <c r="J191" i="50"/>
  <c r="F191" i="50"/>
  <c r="N190" i="50"/>
  <c r="J190" i="50"/>
  <c r="F190" i="50"/>
  <c r="N189" i="50"/>
  <c r="J189" i="50"/>
  <c r="F189" i="50"/>
  <c r="N188" i="50"/>
  <c r="J188" i="50"/>
  <c r="F188" i="50"/>
  <c r="N187" i="50"/>
  <c r="J187" i="50"/>
  <c r="F187" i="50"/>
  <c r="N186" i="50"/>
  <c r="J186" i="50"/>
  <c r="F186" i="50"/>
  <c r="N185" i="50"/>
  <c r="J185" i="50"/>
  <c r="F185" i="50"/>
  <c r="N184" i="50"/>
  <c r="J184" i="50"/>
  <c r="F184" i="50"/>
  <c r="N183" i="50"/>
  <c r="J183" i="50"/>
  <c r="F183" i="50"/>
  <c r="N182" i="50"/>
  <c r="J182" i="50"/>
  <c r="F182" i="50"/>
  <c r="N181" i="50"/>
  <c r="J181" i="50"/>
  <c r="F181" i="50"/>
  <c r="N180" i="50"/>
  <c r="J180" i="50"/>
  <c r="F180" i="50"/>
  <c r="N179" i="50"/>
  <c r="J179" i="50"/>
  <c r="F179" i="50"/>
  <c r="N178" i="50"/>
  <c r="J178" i="50"/>
  <c r="F178" i="50"/>
  <c r="N177" i="50"/>
  <c r="J177" i="50"/>
  <c r="F177" i="50"/>
  <c r="N176" i="50"/>
  <c r="J176" i="50"/>
  <c r="F176" i="50"/>
  <c r="N175" i="50"/>
  <c r="J175" i="50"/>
  <c r="F175" i="50"/>
  <c r="N174" i="50"/>
  <c r="J174" i="50"/>
  <c r="F174" i="50"/>
  <c r="N173" i="50"/>
  <c r="J173" i="50"/>
  <c r="F173" i="50"/>
  <c r="N172" i="50"/>
  <c r="J172" i="50"/>
  <c r="F172" i="50"/>
  <c r="N171" i="50"/>
  <c r="J171" i="50"/>
  <c r="F171" i="50"/>
  <c r="N170" i="50"/>
  <c r="J170" i="50"/>
  <c r="F170" i="50"/>
  <c r="N169" i="50"/>
  <c r="J169" i="50"/>
  <c r="F169" i="50"/>
  <c r="N168" i="50"/>
  <c r="J168" i="50"/>
  <c r="F168" i="50"/>
  <c r="N167" i="50"/>
  <c r="J167" i="50"/>
  <c r="F167" i="50"/>
  <c r="N166" i="50"/>
  <c r="J166" i="50"/>
  <c r="F166" i="50"/>
  <c r="N165" i="50"/>
  <c r="J165" i="50"/>
  <c r="F165" i="50"/>
  <c r="N164" i="50"/>
  <c r="J164" i="50"/>
  <c r="F164" i="50"/>
  <c r="N163" i="50"/>
  <c r="J163" i="50"/>
  <c r="F163" i="50"/>
  <c r="N162" i="50"/>
  <c r="J162" i="50"/>
  <c r="F162" i="50"/>
  <c r="N161" i="50"/>
  <c r="J161" i="50"/>
  <c r="F161" i="50"/>
  <c r="N160" i="50"/>
  <c r="J160" i="50"/>
  <c r="F160" i="50"/>
  <c r="N159" i="50"/>
  <c r="J159" i="50"/>
  <c r="F159" i="50"/>
  <c r="N158" i="50"/>
  <c r="J158" i="50"/>
  <c r="F158" i="50"/>
  <c r="N157" i="50"/>
  <c r="J157" i="50"/>
  <c r="F157" i="50"/>
  <c r="N156" i="50"/>
  <c r="J156" i="50"/>
  <c r="F156" i="50"/>
  <c r="N155" i="50"/>
  <c r="J155" i="50"/>
  <c r="F155" i="50"/>
  <c r="N154" i="50"/>
  <c r="J154" i="50"/>
  <c r="F154" i="50"/>
  <c r="N153" i="50"/>
  <c r="J153" i="50"/>
  <c r="F153" i="50"/>
  <c r="N152" i="50"/>
  <c r="J152" i="50"/>
  <c r="F152" i="50"/>
  <c r="N151" i="50"/>
  <c r="J151" i="50"/>
  <c r="F151" i="50"/>
  <c r="N150" i="50"/>
  <c r="J150" i="50"/>
  <c r="F150" i="50"/>
  <c r="N149" i="50"/>
  <c r="J149" i="50"/>
  <c r="F149" i="50"/>
  <c r="N148" i="50"/>
  <c r="J148" i="50"/>
  <c r="F148" i="50"/>
  <c r="N147" i="50"/>
  <c r="J147" i="50"/>
  <c r="F147" i="50"/>
  <c r="N146" i="50"/>
  <c r="J146" i="50"/>
  <c r="F146" i="50"/>
  <c r="N145" i="50"/>
  <c r="J145" i="50"/>
  <c r="F145" i="50"/>
  <c r="N144" i="50"/>
  <c r="J144" i="50"/>
  <c r="F144" i="50"/>
  <c r="N143" i="50"/>
  <c r="J143" i="50"/>
  <c r="F143" i="50"/>
  <c r="N142" i="50"/>
  <c r="J142" i="50"/>
  <c r="F142" i="50"/>
  <c r="N141" i="50"/>
  <c r="J141" i="50"/>
  <c r="F141" i="50"/>
  <c r="N140" i="50"/>
  <c r="J140" i="50"/>
  <c r="F140" i="50"/>
  <c r="N139" i="50"/>
  <c r="J139" i="50"/>
  <c r="F139" i="50"/>
  <c r="N138" i="50"/>
  <c r="J138" i="50"/>
  <c r="F138" i="50"/>
  <c r="N137" i="50"/>
  <c r="J137" i="50"/>
  <c r="F137" i="50"/>
  <c r="N136" i="50"/>
  <c r="J136" i="50"/>
  <c r="F136" i="50"/>
  <c r="N135" i="50"/>
  <c r="J135" i="50"/>
  <c r="F135" i="50"/>
  <c r="N134" i="50"/>
  <c r="J134" i="50"/>
  <c r="F134" i="50"/>
  <c r="N133" i="50"/>
  <c r="J133" i="50"/>
  <c r="F133" i="50"/>
  <c r="N132" i="50"/>
  <c r="J132" i="50"/>
  <c r="F132" i="50"/>
  <c r="N131" i="50"/>
  <c r="J131" i="50"/>
  <c r="F131" i="50"/>
  <c r="N130" i="50"/>
  <c r="J130" i="50"/>
  <c r="F130" i="50"/>
  <c r="N129" i="50"/>
  <c r="J129" i="50"/>
  <c r="F129" i="50"/>
  <c r="N128" i="50"/>
  <c r="J128" i="50"/>
  <c r="F128" i="50"/>
  <c r="N127" i="50"/>
  <c r="J127" i="50"/>
  <c r="F127" i="50"/>
  <c r="N126" i="50"/>
  <c r="J126" i="50"/>
  <c r="F126" i="50"/>
  <c r="N124" i="50"/>
  <c r="J124" i="50"/>
  <c r="F124" i="50"/>
  <c r="N123" i="50"/>
  <c r="J123" i="50"/>
  <c r="F123" i="50"/>
  <c r="N122" i="50"/>
  <c r="J122" i="50"/>
  <c r="F122" i="50"/>
  <c r="N121" i="50"/>
  <c r="J121" i="50"/>
  <c r="F121" i="50"/>
  <c r="N120" i="50"/>
  <c r="N118" i="50"/>
  <c r="J118" i="50"/>
  <c r="F118" i="50"/>
  <c r="N117" i="50"/>
  <c r="J117" i="50"/>
  <c r="F117" i="50"/>
  <c r="N116" i="50"/>
  <c r="J116" i="50"/>
  <c r="F116" i="50"/>
  <c r="N115" i="50"/>
  <c r="J115" i="50"/>
  <c r="F115" i="50"/>
  <c r="N114" i="50"/>
  <c r="J114" i="50"/>
  <c r="F114" i="50"/>
  <c r="N113" i="50"/>
  <c r="J113" i="50"/>
  <c r="F113" i="50"/>
  <c r="N112" i="50"/>
  <c r="J112" i="50"/>
  <c r="F112" i="50"/>
  <c r="N111" i="50"/>
  <c r="J111" i="50"/>
  <c r="F111" i="50"/>
  <c r="N110" i="50"/>
  <c r="J110" i="50"/>
  <c r="F110" i="50"/>
  <c r="N109" i="50"/>
  <c r="J109" i="50"/>
  <c r="F109" i="50"/>
  <c r="N108" i="50"/>
  <c r="J108" i="50"/>
  <c r="F108" i="50"/>
  <c r="N107" i="50"/>
  <c r="J107" i="50"/>
  <c r="F107" i="50"/>
  <c r="N106" i="50"/>
  <c r="J106" i="50"/>
  <c r="F106" i="50"/>
  <c r="N105" i="50"/>
  <c r="J105" i="50"/>
  <c r="F105" i="50"/>
  <c r="N104" i="50"/>
  <c r="J104" i="50"/>
  <c r="F104" i="50"/>
  <c r="N103" i="50"/>
  <c r="J103" i="50"/>
  <c r="F103" i="50"/>
  <c r="N102" i="50"/>
  <c r="J102" i="50"/>
  <c r="F102" i="50"/>
  <c r="N101" i="50"/>
  <c r="J101" i="50"/>
  <c r="F101" i="50"/>
  <c r="N100" i="50"/>
  <c r="J100" i="50"/>
  <c r="F100" i="50"/>
  <c r="N99" i="50"/>
  <c r="J99" i="50"/>
  <c r="F99" i="50"/>
  <c r="N98" i="50"/>
  <c r="J98" i="50"/>
  <c r="F98" i="50"/>
  <c r="N97" i="50"/>
  <c r="J97" i="50"/>
  <c r="F97" i="50"/>
  <c r="N96" i="50"/>
  <c r="J96" i="50"/>
  <c r="F96" i="50"/>
  <c r="N95" i="50"/>
  <c r="J95" i="50"/>
  <c r="F95" i="50"/>
  <c r="N94" i="50"/>
  <c r="J94" i="50"/>
  <c r="F94" i="50"/>
  <c r="N93" i="50"/>
  <c r="J93" i="50"/>
  <c r="F93" i="50"/>
  <c r="N92" i="50"/>
  <c r="J92" i="50"/>
  <c r="F92" i="50"/>
  <c r="N91" i="50"/>
  <c r="N90" i="50"/>
  <c r="N89" i="50"/>
  <c r="N88" i="50"/>
  <c r="N87" i="50"/>
  <c r="J87" i="50"/>
  <c r="F87" i="50"/>
  <c r="N86" i="50"/>
  <c r="J86" i="50"/>
  <c r="F86" i="50"/>
  <c r="N85" i="50"/>
  <c r="J85" i="50"/>
  <c r="F85" i="50"/>
  <c r="N84" i="50"/>
  <c r="J84" i="50"/>
  <c r="F84" i="50"/>
  <c r="N83" i="50"/>
  <c r="J83" i="50"/>
  <c r="F83" i="50"/>
  <c r="N82" i="50"/>
  <c r="J82" i="50"/>
  <c r="F82" i="50"/>
  <c r="N81" i="50"/>
  <c r="J81" i="50"/>
  <c r="F81" i="50"/>
  <c r="N80" i="50"/>
  <c r="J80" i="50"/>
  <c r="F80" i="50"/>
  <c r="N79" i="50"/>
  <c r="J79" i="50"/>
  <c r="F79" i="50"/>
  <c r="N78" i="50"/>
  <c r="J78" i="50"/>
  <c r="F78" i="50"/>
  <c r="N77" i="50"/>
  <c r="J77" i="50"/>
  <c r="F77" i="50"/>
  <c r="N76" i="50"/>
  <c r="J76" i="50"/>
  <c r="F76" i="50"/>
  <c r="N75" i="50"/>
  <c r="J75" i="50"/>
  <c r="F75" i="50"/>
  <c r="N74" i="50"/>
  <c r="J74" i="50"/>
  <c r="F74" i="50"/>
  <c r="N73" i="50"/>
  <c r="J73" i="50"/>
  <c r="F73" i="50"/>
  <c r="N72" i="50"/>
  <c r="J72" i="50"/>
  <c r="F72" i="50"/>
  <c r="N71" i="50"/>
  <c r="J71" i="50"/>
  <c r="F71" i="50"/>
  <c r="N70" i="50"/>
  <c r="J70" i="50"/>
  <c r="F70" i="50"/>
  <c r="N69" i="50"/>
  <c r="J69" i="50"/>
  <c r="F69" i="50"/>
  <c r="N68" i="50"/>
  <c r="J68" i="50"/>
  <c r="F68" i="50"/>
  <c r="N67" i="50"/>
  <c r="J67" i="50"/>
  <c r="F67" i="50"/>
  <c r="N66" i="50"/>
  <c r="J66" i="50"/>
  <c r="F66" i="50"/>
  <c r="N65" i="50"/>
  <c r="J65" i="50"/>
  <c r="F65" i="50"/>
  <c r="N64" i="50"/>
  <c r="J64" i="50"/>
  <c r="F64" i="50"/>
  <c r="N63" i="50"/>
  <c r="J63" i="50"/>
  <c r="F63" i="50"/>
  <c r="N62" i="50"/>
  <c r="J62" i="50"/>
  <c r="F62" i="50"/>
  <c r="N61" i="50"/>
  <c r="J61" i="50"/>
  <c r="F61" i="50"/>
  <c r="N60" i="50"/>
  <c r="J60" i="50"/>
  <c r="F60" i="50"/>
  <c r="N59" i="50"/>
  <c r="J59" i="50"/>
  <c r="F59" i="50"/>
  <c r="N58" i="50"/>
  <c r="J58" i="50"/>
  <c r="F58" i="50"/>
  <c r="N57" i="50"/>
  <c r="J57" i="50"/>
  <c r="F57" i="50"/>
  <c r="N56" i="50"/>
  <c r="J56" i="50"/>
  <c r="F56" i="50"/>
  <c r="N55" i="50"/>
  <c r="J55" i="50"/>
  <c r="F55" i="50"/>
  <c r="N54" i="50"/>
  <c r="J54" i="50"/>
  <c r="F54" i="50"/>
  <c r="N53" i="50"/>
  <c r="J53" i="50"/>
  <c r="F53" i="50"/>
  <c r="N52" i="50"/>
  <c r="J52" i="50"/>
  <c r="F52" i="50"/>
  <c r="N51" i="50"/>
  <c r="J51" i="50"/>
  <c r="F51" i="50"/>
  <c r="N50" i="50"/>
  <c r="J50" i="50"/>
  <c r="F50" i="50"/>
  <c r="N49" i="50"/>
  <c r="J49" i="50"/>
  <c r="F49" i="50"/>
  <c r="N48" i="50"/>
  <c r="J48" i="50"/>
  <c r="F48" i="50"/>
  <c r="N47" i="50"/>
  <c r="J47" i="50"/>
  <c r="F47" i="50"/>
  <c r="N46" i="50"/>
  <c r="J46" i="50"/>
  <c r="F46" i="50"/>
  <c r="N45" i="50"/>
  <c r="J45" i="50"/>
  <c r="F45" i="50"/>
  <c r="N44" i="50"/>
  <c r="J44" i="50"/>
  <c r="F44" i="50"/>
  <c r="N43" i="50"/>
  <c r="J43" i="50"/>
  <c r="F43" i="50"/>
  <c r="N42" i="50"/>
  <c r="J42" i="50"/>
  <c r="F42" i="50"/>
  <c r="N41" i="50"/>
  <c r="J41" i="50"/>
  <c r="F41" i="50"/>
  <c r="N40" i="50"/>
  <c r="J40" i="50"/>
  <c r="F40" i="50"/>
  <c r="N39" i="50"/>
  <c r="J39" i="50"/>
  <c r="F39" i="50"/>
  <c r="N38" i="50"/>
  <c r="J38" i="50"/>
  <c r="F38" i="50"/>
  <c r="N37" i="50"/>
  <c r="J37" i="50"/>
  <c r="F37" i="50"/>
  <c r="N36" i="50"/>
  <c r="J36" i="50"/>
  <c r="F36" i="50"/>
  <c r="N35" i="50"/>
  <c r="J35" i="50"/>
  <c r="F35" i="50"/>
  <c r="N34" i="50"/>
  <c r="J34" i="50"/>
  <c r="F34" i="50"/>
  <c r="N33" i="50"/>
  <c r="J33" i="50"/>
  <c r="F33" i="50"/>
  <c r="N32" i="50"/>
  <c r="J32" i="50"/>
  <c r="F32" i="50"/>
  <c r="N31" i="50"/>
  <c r="J31" i="50"/>
  <c r="F31" i="50"/>
  <c r="N30" i="50"/>
  <c r="J30" i="50"/>
  <c r="F30" i="50"/>
  <c r="N29" i="50"/>
  <c r="J29" i="50"/>
  <c r="F29" i="50"/>
  <c r="N28" i="50"/>
  <c r="J28" i="50"/>
  <c r="F28" i="50"/>
  <c r="N27" i="50"/>
  <c r="J27" i="50"/>
  <c r="F27" i="50"/>
  <c r="N26" i="50"/>
  <c r="J26" i="50"/>
  <c r="F26" i="50"/>
  <c r="N25" i="50"/>
  <c r="J25" i="50"/>
  <c r="F25" i="50"/>
  <c r="N24" i="50"/>
  <c r="J24" i="50"/>
  <c r="F24" i="50"/>
  <c r="N23" i="50"/>
  <c r="J23" i="50"/>
  <c r="F23" i="50"/>
  <c r="N22" i="50"/>
  <c r="J22" i="50"/>
  <c r="F22" i="50"/>
  <c r="N21" i="50"/>
  <c r="J21" i="50"/>
  <c r="F21" i="50"/>
  <c r="N20" i="50"/>
  <c r="J20" i="50"/>
  <c r="F20" i="50"/>
  <c r="N19" i="50"/>
  <c r="J19" i="50"/>
  <c r="F19" i="50"/>
  <c r="N18" i="50"/>
  <c r="J18" i="50"/>
  <c r="F18" i="50"/>
  <c r="N17" i="50"/>
  <c r="J17" i="50"/>
  <c r="F17" i="50"/>
  <c r="N16" i="50"/>
  <c r="J16" i="50"/>
  <c r="F16" i="50"/>
  <c r="N15" i="50"/>
  <c r="J15" i="50"/>
  <c r="F15" i="50"/>
  <c r="N14" i="50"/>
  <c r="J14" i="50"/>
  <c r="F14" i="50"/>
  <c r="N13" i="50"/>
  <c r="J13" i="50"/>
  <c r="F13" i="50"/>
  <c r="N12" i="50"/>
  <c r="J12" i="50"/>
  <c r="F12" i="50"/>
  <c r="N11" i="50"/>
  <c r="J11" i="50"/>
  <c r="F11" i="50"/>
  <c r="N10" i="50"/>
  <c r="J10" i="50"/>
  <c r="F10" i="50"/>
  <c r="N9" i="50"/>
  <c r="J9" i="50"/>
  <c r="F9" i="50"/>
  <c r="N8" i="50"/>
  <c r="P7" i="50" s="1"/>
  <c r="J8" i="50"/>
  <c r="F8" i="50"/>
  <c r="H7" i="50" s="1"/>
  <c r="Q7" i="50"/>
  <c r="M7" i="50"/>
  <c r="L7" i="50"/>
  <c r="K7" i="50"/>
  <c r="I7" i="50"/>
  <c r="G7" i="50"/>
  <c r="E7" i="50"/>
  <c r="T7" i="50" l="1"/>
  <c r="F7" i="50"/>
  <c r="N7" i="50"/>
  <c r="R7" i="50"/>
  <c r="J7" i="50"/>
  <c r="AH6" i="28"/>
  <c r="AM6" i="28"/>
  <c r="F14" i="56"/>
  <c r="F10" i="56"/>
  <c r="B21" i="56"/>
  <c r="F23" i="56" s="1"/>
  <c r="B18" i="24" s="1"/>
  <c r="O18" i="24" s="1"/>
  <c r="E21" i="56"/>
  <c r="D19" i="56"/>
  <c r="D21" i="56" s="1"/>
  <c r="F21" i="56" l="1"/>
  <c r="B37" i="24" l="1"/>
  <c r="N37" i="24"/>
  <c r="B38" i="24"/>
  <c r="N38" i="24"/>
  <c r="O37" i="24" l="1"/>
  <c r="U317" i="26" l="1"/>
  <c r="L317" i="26" s="1"/>
  <c r="U313" i="26"/>
  <c r="L313" i="26" s="1"/>
  <c r="U219" i="26"/>
  <c r="L219" i="26" s="1"/>
  <c r="U211" i="26"/>
  <c r="L211" i="26" s="1"/>
  <c r="U113" i="26"/>
  <c r="L113" i="26" s="1"/>
  <c r="B24" i="1" l="1"/>
  <c r="I1" i="56" l="1"/>
  <c r="AP6" i="28"/>
  <c r="U83" i="26"/>
  <c r="L83" i="26" s="1"/>
  <c r="U80" i="26"/>
  <c r="L80" i="26" s="1"/>
  <c r="U79" i="26"/>
  <c r="L79" i="26" s="1"/>
  <c r="U78" i="26"/>
  <c r="L78" i="26" s="1"/>
  <c r="U77" i="26"/>
  <c r="L77" i="26" s="1"/>
  <c r="U76" i="26"/>
  <c r="L76" i="26" s="1"/>
  <c r="U84" i="26"/>
  <c r="L84" i="26" s="1"/>
  <c r="U85" i="26"/>
  <c r="L85" i="26" s="1"/>
  <c r="U81" i="26"/>
  <c r="L81" i="26" s="1"/>
  <c r="U82" i="26"/>
  <c r="L82" i="26" s="1"/>
  <c r="U29" i="26"/>
  <c r="L29" i="26" s="1"/>
  <c r="U143" i="26"/>
  <c r="L143" i="26" s="1"/>
  <c r="U115" i="26"/>
  <c r="L115" i="26" s="1"/>
  <c r="E10" i="24" l="1"/>
  <c r="U328" i="26" l="1"/>
  <c r="L328" i="26" s="1"/>
  <c r="U327" i="26"/>
  <c r="L327" i="26" s="1"/>
  <c r="U326" i="26"/>
  <c r="L326" i="26" s="1"/>
  <c r="U325" i="26"/>
  <c r="L325" i="26" s="1"/>
  <c r="U324" i="26"/>
  <c r="L324" i="26" s="1"/>
  <c r="U323" i="26"/>
  <c r="L323" i="26" s="1"/>
  <c r="U322" i="26"/>
  <c r="L322" i="26" s="1"/>
  <c r="U321" i="26"/>
  <c r="L321" i="26" s="1"/>
  <c r="U320" i="26"/>
  <c r="L320" i="26" s="1"/>
  <c r="U319" i="26"/>
  <c r="L319" i="26" s="1"/>
  <c r="U318" i="26"/>
  <c r="L318" i="26" s="1"/>
  <c r="U316" i="26"/>
  <c r="L316" i="26" s="1"/>
  <c r="U315" i="26"/>
  <c r="L315" i="26" s="1"/>
  <c r="U314" i="26"/>
  <c r="L314" i="26" s="1"/>
  <c r="U312" i="26"/>
  <c r="L312" i="26" s="1"/>
  <c r="U311" i="26"/>
  <c r="L311" i="26" s="1"/>
  <c r="U310" i="26"/>
  <c r="L310" i="26" s="1"/>
  <c r="U309" i="26"/>
  <c r="L309" i="26" s="1"/>
  <c r="U308" i="26"/>
  <c r="L308" i="26" s="1"/>
  <c r="U307" i="26"/>
  <c r="L307" i="26" s="1"/>
  <c r="U306" i="26"/>
  <c r="L306" i="26" s="1"/>
  <c r="U305" i="26"/>
  <c r="L305" i="26" s="1"/>
  <c r="U304" i="26"/>
  <c r="L304" i="26" s="1"/>
  <c r="U303" i="26"/>
  <c r="L303" i="26" s="1"/>
  <c r="U302" i="26"/>
  <c r="L302" i="26" s="1"/>
  <c r="U301" i="26"/>
  <c r="L301" i="26" s="1"/>
  <c r="U300" i="26"/>
  <c r="L300" i="26" s="1"/>
  <c r="U299" i="26"/>
  <c r="L299" i="26" s="1"/>
  <c r="U298" i="26"/>
  <c r="L298" i="26" s="1"/>
  <c r="U297" i="26"/>
  <c r="L297" i="26" s="1"/>
  <c r="U296" i="26"/>
  <c r="L296" i="26" s="1"/>
  <c r="U295" i="26"/>
  <c r="L295" i="26" s="1"/>
  <c r="U294" i="26"/>
  <c r="L294" i="26" s="1"/>
  <c r="U293" i="26"/>
  <c r="L293" i="26" s="1"/>
  <c r="U292" i="26"/>
  <c r="L292" i="26" s="1"/>
  <c r="U291" i="26"/>
  <c r="L291" i="26" s="1"/>
  <c r="U290" i="26"/>
  <c r="L290" i="26" s="1"/>
  <c r="U289" i="26"/>
  <c r="L289" i="26" s="1"/>
  <c r="U288" i="26"/>
  <c r="L288" i="26" s="1"/>
  <c r="U287" i="26"/>
  <c r="L287" i="26" s="1"/>
  <c r="U286" i="26"/>
  <c r="L286" i="26" s="1"/>
  <c r="U285" i="26"/>
  <c r="L285" i="26" s="1"/>
  <c r="U284" i="26"/>
  <c r="L284" i="26" s="1"/>
  <c r="U283" i="26"/>
  <c r="L283" i="26" s="1"/>
  <c r="U282" i="26"/>
  <c r="L282" i="26" s="1"/>
  <c r="U281" i="26"/>
  <c r="L281" i="26" s="1"/>
  <c r="U280" i="26"/>
  <c r="L280" i="26" s="1"/>
  <c r="U278" i="26"/>
  <c r="L278" i="26" s="1"/>
  <c r="U277" i="26"/>
  <c r="L277" i="26" s="1"/>
  <c r="U276" i="26"/>
  <c r="L276" i="26" s="1"/>
  <c r="U279" i="26"/>
  <c r="L279" i="26" s="1"/>
  <c r="U275" i="26"/>
  <c r="L275" i="26" s="1"/>
  <c r="U274" i="26"/>
  <c r="L274" i="26" s="1"/>
  <c r="U273" i="26"/>
  <c r="L273" i="26" s="1"/>
  <c r="U272" i="26"/>
  <c r="L272" i="26" s="1"/>
  <c r="U271" i="26"/>
  <c r="L271" i="26" s="1"/>
  <c r="U270" i="26"/>
  <c r="L270" i="26" s="1"/>
  <c r="U269" i="26"/>
  <c r="L269" i="26" s="1"/>
  <c r="U268" i="26"/>
  <c r="L268" i="26" s="1"/>
  <c r="U267" i="26"/>
  <c r="U266" i="26"/>
  <c r="L266" i="26" s="1"/>
  <c r="U265" i="26"/>
  <c r="L265" i="26" s="1"/>
  <c r="U264" i="26"/>
  <c r="L264" i="26" s="1"/>
  <c r="U263" i="26"/>
  <c r="L263" i="26" s="1"/>
  <c r="U262" i="26"/>
  <c r="L262" i="26" s="1"/>
  <c r="U261" i="26"/>
  <c r="L261" i="26" s="1"/>
  <c r="U260" i="26"/>
  <c r="U259" i="26"/>
  <c r="L259" i="26" s="1"/>
  <c r="U258" i="26"/>
  <c r="L258" i="26" s="1"/>
  <c r="U257" i="26"/>
  <c r="L257" i="26" s="1"/>
  <c r="U256" i="26"/>
  <c r="L256" i="26" s="1"/>
  <c r="U255" i="26"/>
  <c r="L255" i="26" s="1"/>
  <c r="U254" i="26"/>
  <c r="L254" i="26" s="1"/>
  <c r="U253" i="26"/>
  <c r="L253" i="26" s="1"/>
  <c r="U252" i="26"/>
  <c r="L252" i="26" s="1"/>
  <c r="U251" i="26"/>
  <c r="L251" i="26" s="1"/>
  <c r="U250" i="26"/>
  <c r="L250" i="26" s="1"/>
  <c r="U249" i="26"/>
  <c r="L249" i="26" s="1"/>
  <c r="U248" i="26"/>
  <c r="L248" i="26" s="1"/>
  <c r="U247" i="26"/>
  <c r="L247" i="26" s="1"/>
  <c r="U246" i="26"/>
  <c r="L246" i="26" s="1"/>
  <c r="U245" i="26"/>
  <c r="L245" i="26" s="1"/>
  <c r="U244" i="26"/>
  <c r="L244" i="26" s="1"/>
  <c r="U243" i="26"/>
  <c r="L243" i="26" s="1"/>
  <c r="U241" i="26"/>
  <c r="L241" i="26" s="1"/>
  <c r="U242" i="26"/>
  <c r="L242" i="26" s="1"/>
  <c r="U240" i="26"/>
  <c r="L240" i="26" s="1"/>
  <c r="U239" i="26"/>
  <c r="L239" i="26" s="1"/>
  <c r="U238" i="26"/>
  <c r="L238" i="26" s="1"/>
  <c r="U237" i="26"/>
  <c r="L237" i="26" s="1"/>
  <c r="U236" i="26"/>
  <c r="L236" i="26" s="1"/>
  <c r="U235" i="26"/>
  <c r="L235" i="26" s="1"/>
  <c r="U234" i="26"/>
  <c r="L234" i="26" s="1"/>
  <c r="U233" i="26"/>
  <c r="L233" i="26" s="1"/>
  <c r="U232" i="26"/>
  <c r="L232" i="26" s="1"/>
  <c r="U231" i="26"/>
  <c r="L231" i="26" s="1"/>
  <c r="U230" i="26"/>
  <c r="L230" i="26" s="1"/>
  <c r="U229" i="26"/>
  <c r="L229" i="26" s="1"/>
  <c r="U227" i="26"/>
  <c r="L227" i="26" s="1"/>
  <c r="U226" i="26"/>
  <c r="L226" i="26" s="1"/>
  <c r="U225" i="26"/>
  <c r="L225" i="26" s="1"/>
  <c r="U223" i="26"/>
  <c r="L223" i="26" s="1"/>
  <c r="U222" i="26"/>
  <c r="U221" i="26"/>
  <c r="L221" i="26" s="1"/>
  <c r="U220" i="26"/>
  <c r="L220" i="26" s="1"/>
  <c r="U119" i="26"/>
  <c r="L119" i="26" s="1"/>
  <c r="U218" i="26"/>
  <c r="U217" i="26"/>
  <c r="L217" i="26" s="1"/>
  <c r="U216" i="26"/>
  <c r="L216" i="26" s="1"/>
  <c r="U215" i="26"/>
  <c r="L215" i="26" s="1"/>
  <c r="U214" i="26"/>
  <c r="L214" i="26" s="1"/>
  <c r="U213" i="26"/>
  <c r="L213" i="26" s="1"/>
  <c r="U212" i="26"/>
  <c r="L212" i="26" s="1"/>
  <c r="U210" i="26"/>
  <c r="L210" i="26" s="1"/>
  <c r="U209" i="26"/>
  <c r="L209" i="26" s="1"/>
  <c r="U208" i="26"/>
  <c r="L208" i="26" s="1"/>
  <c r="U207" i="26"/>
  <c r="L207" i="26" s="1"/>
  <c r="U206" i="26"/>
  <c r="L206" i="26" s="1"/>
  <c r="U205" i="26"/>
  <c r="L205" i="26" s="1"/>
  <c r="U204" i="26"/>
  <c r="L204" i="26" s="1"/>
  <c r="U203" i="26"/>
  <c r="L203" i="26" s="1"/>
  <c r="U202" i="26"/>
  <c r="L202" i="26" s="1"/>
  <c r="U201" i="26"/>
  <c r="L201" i="26" s="1"/>
  <c r="U200" i="26"/>
  <c r="L200" i="26" s="1"/>
  <c r="U199" i="26"/>
  <c r="L199" i="26" s="1"/>
  <c r="U198" i="26"/>
  <c r="L198" i="26" s="1"/>
  <c r="U197" i="26"/>
  <c r="L197" i="26" s="1"/>
  <c r="U196" i="26"/>
  <c r="L196" i="26" s="1"/>
  <c r="U195" i="26"/>
  <c r="L195" i="26" s="1"/>
  <c r="U194" i="26"/>
  <c r="L194" i="26" s="1"/>
  <c r="U193" i="26"/>
  <c r="L193" i="26" s="1"/>
  <c r="U192" i="26"/>
  <c r="L192" i="26" s="1"/>
  <c r="U191" i="26"/>
  <c r="L191" i="26" s="1"/>
  <c r="U190" i="26"/>
  <c r="L190" i="26" s="1"/>
  <c r="U189" i="26"/>
  <c r="L189" i="26" s="1"/>
  <c r="U188" i="26"/>
  <c r="L188" i="26" s="1"/>
  <c r="U187" i="26"/>
  <c r="L187" i="26" s="1"/>
  <c r="U186" i="26"/>
  <c r="L186" i="26" s="1"/>
  <c r="U185" i="26"/>
  <c r="L185" i="26" s="1"/>
  <c r="U184" i="26"/>
  <c r="L184" i="26" s="1"/>
  <c r="U183" i="26"/>
  <c r="L183" i="26" s="1"/>
  <c r="U182" i="26"/>
  <c r="L182" i="26" s="1"/>
  <c r="U181" i="26"/>
  <c r="L181" i="26" s="1"/>
  <c r="U180" i="26"/>
  <c r="L180" i="26" s="1"/>
  <c r="U179" i="26"/>
  <c r="L179" i="26" s="1"/>
  <c r="U178" i="26"/>
  <c r="L178" i="26" s="1"/>
  <c r="U177" i="26"/>
  <c r="L177" i="26" s="1"/>
  <c r="U176" i="26"/>
  <c r="L176" i="26" s="1"/>
  <c r="U175" i="26"/>
  <c r="L175" i="26" s="1"/>
  <c r="U174" i="26"/>
  <c r="L174" i="26" s="1"/>
  <c r="U173" i="26"/>
  <c r="L173" i="26" s="1"/>
  <c r="U172" i="26"/>
  <c r="L172" i="26" s="1"/>
  <c r="U171" i="26"/>
  <c r="L171" i="26" s="1"/>
  <c r="U170" i="26"/>
  <c r="L170" i="26" s="1"/>
  <c r="U169" i="26"/>
  <c r="L169" i="26" s="1"/>
  <c r="U168" i="26"/>
  <c r="L168" i="26" s="1"/>
  <c r="U167" i="26"/>
  <c r="L167" i="26" s="1"/>
  <c r="U166" i="26"/>
  <c r="L166" i="26" s="1"/>
  <c r="U165" i="26"/>
  <c r="L165" i="26" s="1"/>
  <c r="U164" i="26"/>
  <c r="L164" i="26" s="1"/>
  <c r="U163" i="26"/>
  <c r="L163" i="26" s="1"/>
  <c r="U162" i="26"/>
  <c r="L162" i="26" s="1"/>
  <c r="U161" i="26"/>
  <c r="L161" i="26" s="1"/>
  <c r="U160" i="26"/>
  <c r="L160" i="26" s="1"/>
  <c r="U159" i="26"/>
  <c r="L159" i="26" s="1"/>
  <c r="U158" i="26"/>
  <c r="L158" i="26" s="1"/>
  <c r="U157" i="26"/>
  <c r="L157" i="26" s="1"/>
  <c r="U156" i="26"/>
  <c r="L156" i="26" s="1"/>
  <c r="U155" i="26"/>
  <c r="L155" i="26" s="1"/>
  <c r="U154" i="26"/>
  <c r="L154" i="26" s="1"/>
  <c r="U153" i="26"/>
  <c r="L153" i="26" s="1"/>
  <c r="U152" i="26"/>
  <c r="U151" i="26"/>
  <c r="L151" i="26" s="1"/>
  <c r="U150" i="26"/>
  <c r="L150" i="26" s="1"/>
  <c r="U149" i="26"/>
  <c r="L149" i="26" s="1"/>
  <c r="U148" i="26"/>
  <c r="L148" i="26" s="1"/>
  <c r="U147" i="26"/>
  <c r="L147" i="26" s="1"/>
  <c r="U146" i="26"/>
  <c r="L146" i="26" s="1"/>
  <c r="U145" i="26"/>
  <c r="L145" i="26" s="1"/>
  <c r="U144" i="26"/>
  <c r="L144" i="26" s="1"/>
  <c r="U142" i="26"/>
  <c r="L142" i="26" s="1"/>
  <c r="U141" i="26"/>
  <c r="L141" i="26" s="1"/>
  <c r="U140" i="26"/>
  <c r="L140" i="26" s="1"/>
  <c r="U139" i="26"/>
  <c r="L139" i="26" s="1"/>
  <c r="U138" i="26"/>
  <c r="L138" i="26" s="1"/>
  <c r="U137" i="26"/>
  <c r="L137" i="26" s="1"/>
  <c r="U136" i="26"/>
  <c r="L136" i="26" s="1"/>
  <c r="U135" i="26"/>
  <c r="L135" i="26" s="1"/>
  <c r="U134" i="26"/>
  <c r="L134" i="26" s="1"/>
  <c r="U224" i="26"/>
  <c r="L224" i="26" s="1"/>
  <c r="U133" i="26"/>
  <c r="L133" i="26" s="1"/>
  <c r="U132" i="26"/>
  <c r="L132" i="26" s="1"/>
  <c r="U131" i="26"/>
  <c r="L131" i="26" s="1"/>
  <c r="U130" i="26"/>
  <c r="L130" i="26" s="1"/>
  <c r="U129" i="26"/>
  <c r="L129" i="26" s="1"/>
  <c r="U128" i="26"/>
  <c r="L128" i="26" s="1"/>
  <c r="U127" i="26"/>
  <c r="L127" i="26" s="1"/>
  <c r="U126" i="26"/>
  <c r="L126" i="26" s="1"/>
  <c r="U125" i="26"/>
  <c r="L125" i="26" s="1"/>
  <c r="U124" i="26"/>
  <c r="L124" i="26" s="1"/>
  <c r="U123" i="26"/>
  <c r="L123" i="26" s="1"/>
  <c r="U122" i="26"/>
  <c r="L122" i="26" s="1"/>
  <c r="U121" i="26"/>
  <c r="L121" i="26" s="1"/>
  <c r="U120" i="26"/>
  <c r="L120" i="26" s="1"/>
  <c r="U118" i="26"/>
  <c r="L118" i="26" s="1"/>
  <c r="U117" i="26"/>
  <c r="L117" i="26" s="1"/>
  <c r="U116" i="26"/>
  <c r="L116" i="26" s="1"/>
  <c r="U114" i="26"/>
  <c r="L114" i="26" s="1"/>
  <c r="U112" i="26"/>
  <c r="L112" i="26" s="1"/>
  <c r="U111" i="26"/>
  <c r="L111" i="26" s="1"/>
  <c r="U110" i="26"/>
  <c r="L110" i="26" s="1"/>
  <c r="U109" i="26"/>
  <c r="L109" i="26" s="1"/>
  <c r="U108" i="26"/>
  <c r="L108" i="26" s="1"/>
  <c r="U107" i="26"/>
  <c r="L107" i="26" s="1"/>
  <c r="U106" i="26"/>
  <c r="L106" i="26" s="1"/>
  <c r="U105" i="26"/>
  <c r="L105" i="26" s="1"/>
  <c r="U228" i="26"/>
  <c r="L228" i="26" s="1"/>
  <c r="U104" i="26"/>
  <c r="L104" i="26" s="1"/>
  <c r="U103" i="26"/>
  <c r="L103" i="26" s="1"/>
  <c r="U102" i="26"/>
  <c r="L102" i="26" s="1"/>
  <c r="U101" i="26"/>
  <c r="L101" i="26" s="1"/>
  <c r="U100" i="26"/>
  <c r="L100" i="26" s="1"/>
  <c r="U99" i="26"/>
  <c r="L99" i="26" s="1"/>
  <c r="U98" i="26"/>
  <c r="L98" i="26" s="1"/>
  <c r="U97" i="26"/>
  <c r="L97" i="26" s="1"/>
  <c r="U96" i="26"/>
  <c r="L96" i="26" s="1"/>
  <c r="U95" i="26"/>
  <c r="L95" i="26" s="1"/>
  <c r="U94" i="26"/>
  <c r="L94" i="26" s="1"/>
  <c r="U93" i="26"/>
  <c r="L93" i="26" s="1"/>
  <c r="U92" i="26"/>
  <c r="L92" i="26" s="1"/>
  <c r="U91" i="26"/>
  <c r="L91" i="26" s="1"/>
  <c r="U90" i="26"/>
  <c r="L90" i="26" s="1"/>
  <c r="U89" i="26"/>
  <c r="L89" i="26" s="1"/>
  <c r="U88" i="26"/>
  <c r="L88" i="26" s="1"/>
  <c r="U87" i="26"/>
  <c r="L87" i="26" s="1"/>
  <c r="U86" i="26"/>
  <c r="L86" i="26" s="1"/>
  <c r="U75" i="26"/>
  <c r="L75" i="26" s="1"/>
  <c r="U74" i="26"/>
  <c r="L74" i="26" s="1"/>
  <c r="U73" i="26"/>
  <c r="L73" i="26" s="1"/>
  <c r="L72" i="26"/>
  <c r="U71" i="26"/>
  <c r="L71" i="26" s="1"/>
  <c r="U70" i="26"/>
  <c r="L70" i="26" s="1"/>
  <c r="U69" i="26"/>
  <c r="L69" i="26" s="1"/>
  <c r="U68" i="26"/>
  <c r="L68" i="26" s="1"/>
  <c r="U67" i="26"/>
  <c r="L67" i="26" s="1"/>
  <c r="U66" i="26"/>
  <c r="L66" i="26" s="1"/>
  <c r="U65" i="26"/>
  <c r="L65" i="26" s="1"/>
  <c r="U64" i="26"/>
  <c r="L64" i="26" s="1"/>
  <c r="U63" i="26"/>
  <c r="L63" i="26" s="1"/>
  <c r="U62" i="26"/>
  <c r="L62" i="26" s="1"/>
  <c r="U61" i="26"/>
  <c r="L61" i="26" s="1"/>
  <c r="U60" i="26"/>
  <c r="L60" i="26" s="1"/>
  <c r="U59" i="26"/>
  <c r="L59" i="26" s="1"/>
  <c r="U58" i="26"/>
  <c r="L58" i="26" s="1"/>
  <c r="U57" i="26"/>
  <c r="L57" i="26" s="1"/>
  <c r="U56" i="26"/>
  <c r="L56" i="26" s="1"/>
  <c r="U55" i="26"/>
  <c r="L55" i="26" s="1"/>
  <c r="U54" i="26"/>
  <c r="L54" i="26" s="1"/>
  <c r="U53" i="26"/>
  <c r="L53" i="26" s="1"/>
  <c r="U52" i="26"/>
  <c r="L52" i="26" s="1"/>
  <c r="U51" i="26"/>
  <c r="L51" i="26" s="1"/>
  <c r="U50" i="26"/>
  <c r="L50" i="26" s="1"/>
  <c r="U49" i="26"/>
  <c r="L49" i="26" s="1"/>
  <c r="U48" i="26"/>
  <c r="L48" i="26" s="1"/>
  <c r="U47" i="26"/>
  <c r="L47" i="26" s="1"/>
  <c r="U46" i="26"/>
  <c r="L46" i="26" s="1"/>
  <c r="U45" i="26"/>
  <c r="L45" i="26" s="1"/>
  <c r="U44" i="26"/>
  <c r="L44" i="26" s="1"/>
  <c r="U43" i="26"/>
  <c r="L43" i="26" s="1"/>
  <c r="U42" i="26"/>
  <c r="L42" i="26" s="1"/>
  <c r="U41" i="26"/>
  <c r="L41" i="26" s="1"/>
  <c r="U40" i="26"/>
  <c r="L40" i="26" s="1"/>
  <c r="U39" i="26"/>
  <c r="L39" i="26" s="1"/>
  <c r="U38" i="26"/>
  <c r="L38" i="26" s="1"/>
  <c r="U37" i="26"/>
  <c r="L37" i="26" s="1"/>
  <c r="U36" i="26"/>
  <c r="L36" i="26" s="1"/>
  <c r="U35" i="26"/>
  <c r="L35" i="26" s="1"/>
  <c r="U34" i="26"/>
  <c r="L34" i="26" s="1"/>
  <c r="U33" i="26"/>
  <c r="L33" i="26" s="1"/>
  <c r="U32" i="26"/>
  <c r="L32" i="26" s="1"/>
  <c r="U31" i="26"/>
  <c r="L31" i="26" s="1"/>
  <c r="U30" i="26"/>
  <c r="L30" i="26" s="1"/>
  <c r="U28" i="26"/>
  <c r="L28" i="26" s="1"/>
  <c r="U27" i="26"/>
  <c r="L27" i="26" s="1"/>
  <c r="U26" i="26"/>
  <c r="L26" i="26" s="1"/>
  <c r="U25" i="26"/>
  <c r="L25" i="26" s="1"/>
  <c r="U24" i="26"/>
  <c r="L24" i="26" s="1"/>
  <c r="U23" i="26"/>
  <c r="L23" i="26" s="1"/>
  <c r="U22" i="26"/>
  <c r="L22" i="26" s="1"/>
  <c r="U21" i="26"/>
  <c r="L21" i="26" s="1"/>
  <c r="U20" i="26"/>
  <c r="L20" i="26" s="1"/>
  <c r="U19" i="26"/>
  <c r="L19" i="26" s="1"/>
  <c r="U18" i="26"/>
  <c r="L18" i="26" s="1"/>
  <c r="U17" i="26"/>
  <c r="L17" i="26" s="1"/>
  <c r="U16" i="26"/>
  <c r="L16" i="26" s="1"/>
  <c r="U15" i="26"/>
  <c r="L15" i="26" s="1"/>
  <c r="U14" i="26"/>
  <c r="L14" i="26" s="1"/>
  <c r="U13" i="26"/>
  <c r="L13" i="26" s="1"/>
  <c r="U12" i="26"/>
  <c r="L12" i="26" s="1"/>
  <c r="U11" i="26"/>
  <c r="L11" i="26" s="1"/>
  <c r="U10" i="26"/>
  <c r="L10" i="26" s="1"/>
  <c r="U9" i="26"/>
  <c r="L9" i="26" s="1"/>
  <c r="U8" i="26"/>
  <c r="L8" i="26" s="1"/>
  <c r="U7" i="26"/>
  <c r="L7" i="26" s="1"/>
  <c r="U6" i="26"/>
  <c r="L6" i="26" s="1"/>
  <c r="U5" i="26"/>
  <c r="L5" i="26" s="1"/>
  <c r="U4" i="26"/>
  <c r="L4" i="26" s="1"/>
  <c r="U3" i="26"/>
  <c r="L3" i="26" s="1"/>
  <c r="U2" i="26"/>
  <c r="L2" i="26" s="1"/>
  <c r="L267" i="26" l="1"/>
  <c r="U1" i="26"/>
  <c r="L222" i="26"/>
  <c r="L152" i="26"/>
  <c r="L218" i="26"/>
  <c r="L260" i="26"/>
  <c r="L1" i="26"/>
  <c r="B5" i="25"/>
  <c r="M41" i="24" l="1"/>
  <c r="M55" i="24" s="1"/>
  <c r="L41" i="24"/>
  <c r="L55" i="24" s="1"/>
  <c r="M47" i="24"/>
  <c r="M56" i="24" s="1"/>
  <c r="L47" i="24"/>
  <c r="L56" i="24" s="1"/>
  <c r="M34" i="24"/>
  <c r="M54" i="24" s="1"/>
  <c r="L34" i="24"/>
  <c r="L54" i="24" s="1"/>
  <c r="M13" i="24"/>
  <c r="M53" i="24" s="1"/>
  <c r="L13" i="24"/>
  <c r="L53" i="24" s="1"/>
  <c r="M9" i="24"/>
  <c r="M52" i="24" s="1"/>
  <c r="L9" i="24"/>
  <c r="L52" i="24" s="1"/>
  <c r="N49" i="24"/>
  <c r="N48" i="24"/>
  <c r="N45" i="24"/>
  <c r="O45" i="24" s="1"/>
  <c r="N44" i="24"/>
  <c r="N43" i="24"/>
  <c r="N42" i="24"/>
  <c r="N36" i="24"/>
  <c r="N24" i="24"/>
  <c r="N23" i="24"/>
  <c r="N22" i="24"/>
  <c r="N21" i="24"/>
  <c r="N20" i="24"/>
  <c r="N19" i="24"/>
  <c r="N17" i="24"/>
  <c r="N15" i="24"/>
  <c r="N14" i="24"/>
  <c r="N10" i="24"/>
  <c r="N9" i="24" s="1"/>
  <c r="N52" i="24" s="1"/>
  <c r="N34" i="24" l="1"/>
  <c r="N41" i="24"/>
  <c r="N55" i="24" s="1"/>
  <c r="N13" i="24"/>
  <c r="N53" i="24" s="1"/>
  <c r="N47" i="24"/>
  <c r="N56" i="24" s="1"/>
  <c r="M57" i="24"/>
  <c r="L57" i="24"/>
  <c r="B15" i="24"/>
  <c r="O15" i="24" s="1"/>
  <c r="C45" i="4"/>
  <c r="C48" i="4" s="1"/>
  <c r="C147" i="4" s="1"/>
  <c r="B7" i="9"/>
  <c r="B28" i="38"/>
  <c r="B49" i="24" s="1"/>
  <c r="O49" i="24" s="1"/>
  <c r="B21" i="38"/>
  <c r="B19" i="38"/>
  <c r="B14" i="38"/>
  <c r="B12" i="38"/>
  <c r="B9" i="38"/>
  <c r="B10" i="38" s="1"/>
  <c r="B5" i="19"/>
  <c r="O38" i="24" s="1"/>
  <c r="E51" i="33"/>
  <c r="E19" i="24" s="1"/>
  <c r="B22" i="31"/>
  <c r="C16" i="31" s="1"/>
  <c r="D16" i="31" s="1"/>
  <c r="D12" i="31"/>
  <c r="F22" i="24"/>
  <c r="E22" i="24"/>
  <c r="D22" i="24"/>
  <c r="B22" i="24"/>
  <c r="O22" i="24" s="1"/>
  <c r="E8" i="8"/>
  <c r="F24" i="24" s="1"/>
  <c r="D8" i="8"/>
  <c r="E24" i="24" s="1"/>
  <c r="C8" i="8"/>
  <c r="C24" i="24" s="1"/>
  <c r="B8" i="8"/>
  <c r="B24" i="24" s="1"/>
  <c r="O24" i="24" s="1"/>
  <c r="B7" i="7"/>
  <c r="B23" i="24" s="1"/>
  <c r="O23" i="24" s="1"/>
  <c r="B44" i="24"/>
  <c r="O44" i="24" s="1"/>
  <c r="B5" i="21"/>
  <c r="B43" i="24" s="1"/>
  <c r="O43" i="24" s="1"/>
  <c r="B6" i="20"/>
  <c r="B42" i="24" s="1"/>
  <c r="O42" i="24" s="1"/>
  <c r="G11" i="24"/>
  <c r="G9" i="24" s="1"/>
  <c r="G6" i="18"/>
  <c r="F36" i="24" s="1"/>
  <c r="F34" i="24" s="1"/>
  <c r="F6" i="18"/>
  <c r="G36" i="24" s="1"/>
  <c r="G34" i="24" s="1"/>
  <c r="G54" i="24" s="1"/>
  <c r="E6" i="18"/>
  <c r="D6" i="18"/>
  <c r="C6" i="18"/>
  <c r="E36" i="24" s="1"/>
  <c r="B6" i="18"/>
  <c r="B36" i="24" s="1"/>
  <c r="O36" i="24" s="1"/>
  <c r="C9" i="17"/>
  <c r="C11" i="17" s="1"/>
  <c r="E32" i="24" s="1"/>
  <c r="C9" i="16"/>
  <c r="C11" i="16" s="1"/>
  <c r="E30" i="24" s="1"/>
  <c r="C9" i="15"/>
  <c r="C11" i="15" s="1"/>
  <c r="E29" i="24" s="1"/>
  <c r="C9" i="14"/>
  <c r="C11" i="14" s="1"/>
  <c r="E28" i="24" s="1"/>
  <c r="C9" i="13"/>
  <c r="C11" i="13"/>
  <c r="E27" i="24" s="1"/>
  <c r="C9" i="12"/>
  <c r="C11" i="12" s="1"/>
  <c r="E26" i="24" s="1"/>
  <c r="C9" i="11"/>
  <c r="C11" i="11" s="1"/>
  <c r="E35" i="24" s="1"/>
  <c r="C9" i="10"/>
  <c r="C11" i="10" s="1"/>
  <c r="E25" i="24" s="1"/>
  <c r="D6" i="5"/>
  <c r="F21" i="24" s="1"/>
  <c r="C6" i="5"/>
  <c r="E21" i="24" s="1"/>
  <c r="B6" i="5"/>
  <c r="B21" i="24" s="1"/>
  <c r="O21" i="24" s="1"/>
  <c r="G5" i="2"/>
  <c r="G14" i="24" s="1"/>
  <c r="G13" i="24" s="1"/>
  <c r="G53" i="24" s="1"/>
  <c r="F5" i="2"/>
  <c r="E5" i="2"/>
  <c r="C14" i="24"/>
  <c r="D5" i="2"/>
  <c r="C5" i="2"/>
  <c r="E14" i="24" s="1"/>
  <c r="B5" i="2"/>
  <c r="B14" i="24" s="1"/>
  <c r="O14" i="24" s="1"/>
  <c r="B16" i="1"/>
  <c r="C10" i="24"/>
  <c r="C9" i="24" s="1"/>
  <c r="C52" i="24" s="1"/>
  <c r="B9" i="1"/>
  <c r="B10" i="24" s="1"/>
  <c r="O10" i="24" s="1"/>
  <c r="C7" i="3"/>
  <c r="C14" i="3" s="1"/>
  <c r="E9" i="24"/>
  <c r="E52" i="24" s="1"/>
  <c r="D9" i="24"/>
  <c r="D52" i="24" s="1"/>
  <c r="F9" i="24"/>
  <c r="F52" i="24" s="1"/>
  <c r="E7" i="24"/>
  <c r="D7" i="24"/>
  <c r="D21" i="24" s="1"/>
  <c r="D13" i="24" s="1"/>
  <c r="D53" i="24" s="1"/>
  <c r="C7" i="24"/>
  <c r="F7" i="24"/>
  <c r="G7" i="24"/>
  <c r="B7" i="24"/>
  <c r="D54" i="24"/>
  <c r="C54" i="24"/>
  <c r="B9" i="24" l="1"/>
  <c r="O9" i="24" s="1"/>
  <c r="E34" i="24"/>
  <c r="E54" i="24" s="1"/>
  <c r="E13" i="24"/>
  <c r="E53" i="24" s="1"/>
  <c r="C16" i="24"/>
  <c r="C13" i="24" s="1"/>
  <c r="C53" i="24" s="1"/>
  <c r="C55" i="24" s="1"/>
  <c r="C20" i="31"/>
  <c r="D20" i="31" s="1"/>
  <c r="C19" i="31"/>
  <c r="D19" i="31" s="1"/>
  <c r="C18" i="31"/>
  <c r="D18" i="31" s="1"/>
  <c r="C15" i="31"/>
  <c r="D15" i="31" s="1"/>
  <c r="C17" i="31"/>
  <c r="D17" i="31" s="1"/>
  <c r="C21" i="31"/>
  <c r="D21" i="31" s="1"/>
  <c r="E42" i="33"/>
  <c r="E44" i="33" s="1"/>
  <c r="B19" i="24" s="1"/>
  <c r="O19" i="24" s="1"/>
  <c r="F54" i="24"/>
  <c r="F16" i="24"/>
  <c r="F13" i="24" s="1"/>
  <c r="G52" i="24"/>
  <c r="G55" i="24" s="1"/>
  <c r="G45" i="24"/>
  <c r="G41" i="24" s="1"/>
  <c r="G48" i="24"/>
  <c r="D55" i="24"/>
  <c r="B34" i="24"/>
  <c r="B54" i="24" s="1"/>
  <c r="D56" i="24"/>
  <c r="N54" i="24"/>
  <c r="N57" i="24" s="1"/>
  <c r="D48" i="24"/>
  <c r="F1" i="4"/>
  <c r="F1" i="31"/>
  <c r="D25" i="31" l="1"/>
  <c r="D26" i="31" s="1"/>
  <c r="B52" i="24"/>
  <c r="O52" i="24" s="1"/>
  <c r="E56" i="24"/>
  <c r="E55" i="24"/>
  <c r="E45" i="24"/>
  <c r="E41" i="24" s="1"/>
  <c r="E48" i="24"/>
  <c r="T56" i="4"/>
  <c r="S56" i="4"/>
  <c r="T66" i="4"/>
  <c r="S66" i="4"/>
  <c r="B7" i="4"/>
  <c r="R63" i="4"/>
  <c r="R61" i="4"/>
  <c r="R62" i="4"/>
  <c r="R53" i="4"/>
  <c r="R51" i="4"/>
  <c r="R52" i="4"/>
  <c r="B6" i="4"/>
  <c r="B86" i="4" s="1"/>
  <c r="C86" i="4" s="1"/>
  <c r="B5" i="4"/>
  <c r="C129" i="4"/>
  <c r="C11" i="4"/>
  <c r="C12" i="4"/>
  <c r="C139" i="4"/>
  <c r="C141" i="4" s="1"/>
  <c r="C168" i="4" s="1"/>
  <c r="B110" i="4"/>
  <c r="C110" i="4" s="1"/>
  <c r="C96" i="4"/>
  <c r="C72" i="4"/>
  <c r="C61" i="4"/>
  <c r="B38" i="4"/>
  <c r="C38" i="4" s="1"/>
  <c r="C128" i="4"/>
  <c r="C34" i="4"/>
  <c r="C121" i="4"/>
  <c r="C105" i="4"/>
  <c r="C82" i="4"/>
  <c r="C53" i="4"/>
  <c r="C33" i="4"/>
  <c r="C115" i="4"/>
  <c r="B100" i="4"/>
  <c r="C100" i="4" s="1"/>
  <c r="C81" i="4"/>
  <c r="C63" i="4"/>
  <c r="C51" i="4"/>
  <c r="C106" i="4"/>
  <c r="C95" i="4"/>
  <c r="C71" i="4"/>
  <c r="C19" i="4"/>
  <c r="C20" i="4"/>
  <c r="B24" i="4"/>
  <c r="C56" i="24"/>
  <c r="C57" i="24" s="1"/>
  <c r="D57" i="24"/>
  <c r="O54" i="24"/>
  <c r="D22" i="31"/>
  <c r="C48" i="24"/>
  <c r="G56" i="24"/>
  <c r="G57" i="24" s="1"/>
  <c r="O34" i="24"/>
  <c r="F48" i="24"/>
  <c r="F53" i="24"/>
  <c r="B4" i="31"/>
  <c r="A4" i="31"/>
  <c r="B123" i="4" l="1"/>
  <c r="C123" i="4" s="1"/>
  <c r="C124" i="4" s="1"/>
  <c r="C166" i="4" s="1"/>
  <c r="B34" i="31"/>
  <c r="B32" i="31"/>
  <c r="A32" i="31" s="1"/>
  <c r="B33" i="31"/>
  <c r="A33" i="31" s="1"/>
  <c r="B35" i="31"/>
  <c r="A35" i="31" s="1"/>
  <c r="E57" i="24"/>
  <c r="R55" i="4"/>
  <c r="C64" i="4"/>
  <c r="C149" i="4" s="1"/>
  <c r="R65" i="4"/>
  <c r="R54" i="4"/>
  <c r="R64" i="4"/>
  <c r="D27" i="31"/>
  <c r="B38" i="31" s="1"/>
  <c r="C13" i="4"/>
  <c r="C16" i="4" s="1"/>
  <c r="C144" i="4" s="1"/>
  <c r="F56" i="24"/>
  <c r="F55" i="24"/>
  <c r="C83" i="4"/>
  <c r="C87" i="4" s="1"/>
  <c r="B76" i="4"/>
  <c r="C76" i="4" s="1"/>
  <c r="C136" i="4"/>
  <c r="C54" i="4"/>
  <c r="B25" i="4"/>
  <c r="B26" i="4" s="1"/>
  <c r="C28" i="4" s="1"/>
  <c r="B131" i="4"/>
  <c r="C131" i="4" s="1"/>
  <c r="B117" i="4"/>
  <c r="C117" i="4" s="1"/>
  <c r="C118" i="4" s="1"/>
  <c r="C165" i="4" s="1"/>
  <c r="C107" i="4"/>
  <c r="C111" i="4" s="1"/>
  <c r="C153" i="4" s="1"/>
  <c r="C97" i="4"/>
  <c r="C101" i="4" s="1"/>
  <c r="C35" i="4"/>
  <c r="C39" i="4" s="1"/>
  <c r="C146" i="4" s="1"/>
  <c r="C21" i="4"/>
  <c r="C73" i="4"/>
  <c r="A34" i="31" l="1"/>
  <c r="G53" i="4"/>
  <c r="C148" i="4"/>
  <c r="R56" i="4"/>
  <c r="C56" i="4" s="1"/>
  <c r="R66" i="4"/>
  <c r="C66" i="4" s="1"/>
  <c r="D29" i="31"/>
  <c r="B36" i="31" s="1"/>
  <c r="A36" i="31" s="1"/>
  <c r="F57" i="24"/>
  <c r="C133" i="4"/>
  <c r="C88" i="4"/>
  <c r="C151" i="4"/>
  <c r="C65" i="4"/>
  <c r="C77" i="4"/>
  <c r="C150" i="4" s="1"/>
  <c r="C55" i="4"/>
  <c r="C29" i="4"/>
  <c r="C145" i="4" s="1"/>
  <c r="C152" i="4"/>
  <c r="C102" i="4"/>
  <c r="C163" i="4" s="1"/>
  <c r="C40" i="4"/>
  <c r="C159" i="4" s="1"/>
  <c r="C112" i="4"/>
  <c r="C164" i="4" s="1"/>
  <c r="A37" i="31" l="1"/>
  <c r="J55" i="4"/>
  <c r="J54" i="4"/>
  <c r="J53" i="4"/>
  <c r="B37" i="31"/>
  <c r="B20" i="24" s="1"/>
  <c r="C57" i="4"/>
  <c r="C67" i="4"/>
  <c r="C161" i="4" s="1"/>
  <c r="C134" i="4"/>
  <c r="C135" i="4" s="1"/>
  <c r="C154" i="4"/>
  <c r="C90" i="4"/>
  <c r="C78" i="4"/>
  <c r="C91" i="4" s="1"/>
  <c r="C162" i="4" s="1"/>
  <c r="C30" i="4"/>
  <c r="C158" i="4" s="1"/>
  <c r="J56" i="4" l="1"/>
  <c r="C58" i="4"/>
  <c r="G59" i="4"/>
  <c r="C160" i="4"/>
  <c r="C37" i="31"/>
  <c r="O20" i="24"/>
  <c r="C68" i="4"/>
  <c r="B39" i="31"/>
  <c r="A40" i="31"/>
  <c r="A39" i="31"/>
  <c r="C40" i="31"/>
  <c r="C167" i="4"/>
  <c r="C169" i="4" l="1"/>
  <c r="C171" i="4" s="1"/>
  <c r="B17" i="24" s="1"/>
  <c r="O17" i="24" s="1"/>
  <c r="J60" i="4"/>
  <c r="J59" i="4"/>
  <c r="B13" i="24" l="1"/>
  <c r="O13" i="24" s="1"/>
  <c r="C173" i="4"/>
  <c r="J61" i="4"/>
  <c r="B41" i="24" l="1"/>
  <c r="B48" i="24" s="1"/>
  <c r="B47" i="24" s="1"/>
  <c r="O47" i="24" s="1"/>
  <c r="B53" i="24"/>
  <c r="O53" i="24" s="1"/>
  <c r="B55" i="24" l="1"/>
  <c r="O55" i="24" s="1"/>
  <c r="O41" i="24"/>
  <c r="O48" i="24"/>
  <c r="B56" i="24" l="1"/>
  <c r="O56" i="24" s="1"/>
  <c r="B57" i="24" l="1"/>
  <c r="O57" i="2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Paul Stone</author>
    <author>Daniel Lunghofer</author>
  </authors>
  <commentList>
    <comment ref="B5" authorId="0" shapeId="0" xr:uid="{00000000-0006-0000-0200-000001000000}">
      <text>
        <r>
          <rPr>
            <b/>
            <sz val="9"/>
            <color indexed="81"/>
            <rFont val="Tahoma"/>
            <family val="2"/>
          </rPr>
          <t>Paul Stone:</t>
        </r>
        <r>
          <rPr>
            <sz val="9"/>
            <color indexed="81"/>
            <rFont val="Tahoma"/>
            <family val="2"/>
          </rPr>
          <t xml:space="preserve">
Manually enter values in the yellow cells. See Instructions.</t>
        </r>
      </text>
    </comment>
    <comment ref="B41" authorId="1" shapeId="0" xr:uid="{00000000-0006-0000-0200-000002000000}">
      <text>
        <r>
          <rPr>
            <b/>
            <sz val="9"/>
            <color indexed="81"/>
            <rFont val="Tahoma"/>
            <family val="2"/>
          </rPr>
          <t>OSPI/SAFS:</t>
        </r>
        <r>
          <rPr>
            <sz val="9"/>
            <color indexed="81"/>
            <rFont val="Tahoma"/>
            <family val="2"/>
          </rPr>
          <t xml:space="preserve">
Amounts that are Assigned cannot reduce Unassigned Fund Balance to below zero. If amounts are Assigned but there is insufficient Fund Balance to cover them, the amount of the Assignment will be reduced accordingly.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Mike Sando</author>
  </authors>
  <commentList>
    <comment ref="F15" authorId="0" shapeId="0" xr:uid="{0F5010F3-62A3-4CBA-AC44-54487791B615}">
      <text>
        <r>
          <rPr>
            <b/>
            <sz val="9"/>
            <color indexed="81"/>
            <rFont val="Tahoma"/>
            <charset val="1"/>
          </rPr>
          <t>Mike Sando:</t>
        </r>
        <r>
          <rPr>
            <sz val="9"/>
            <color indexed="81"/>
            <rFont val="Tahoma"/>
            <charset val="1"/>
          </rPr>
          <t xml:space="preserve">
Rate changed to 0.00% - underlying data (-0.0377) will remain in the EDS</t>
        </r>
      </text>
    </comment>
    <comment ref="H15" authorId="0" shapeId="0" xr:uid="{1B7531BF-7C06-4975-B47A-8811C48CE693}">
      <text>
        <r>
          <rPr>
            <b/>
            <sz val="9"/>
            <color indexed="81"/>
            <rFont val="Tahoma"/>
            <charset val="1"/>
          </rPr>
          <t>Mike Sando:</t>
        </r>
        <r>
          <rPr>
            <sz val="9"/>
            <color indexed="81"/>
            <rFont val="Tahoma"/>
            <charset val="1"/>
          </rPr>
          <t xml:space="preserve">
Rate changed to 0.00% - underlying data (-0.2210) will remain in the EDS</t>
        </r>
      </text>
    </comment>
    <comment ref="F25" authorId="0" shapeId="0" xr:uid="{71728C9C-2A48-46D0-8AE4-D95D9AF8954B}">
      <text>
        <r>
          <rPr>
            <b/>
            <sz val="9"/>
            <color indexed="81"/>
            <rFont val="Tahoma"/>
            <family val="2"/>
          </rPr>
          <t>Mike Sando:</t>
        </r>
        <r>
          <rPr>
            <sz val="9"/>
            <color indexed="81"/>
            <rFont val="Tahoma"/>
            <family val="2"/>
          </rPr>
          <t xml:space="preserve">
Rate changed to 0.00% - underlying data (-0.0089) will remain in the EDS</t>
        </r>
      </text>
    </comment>
    <comment ref="F126" authorId="0" shapeId="0" xr:uid="{1B780991-CD6D-4C62-9192-A6A882E5402E}">
      <text>
        <r>
          <rPr>
            <b/>
            <sz val="9"/>
            <color indexed="81"/>
            <rFont val="Tahoma"/>
            <charset val="1"/>
          </rPr>
          <t>Mike Sando:</t>
        </r>
        <r>
          <rPr>
            <sz val="9"/>
            <color indexed="81"/>
            <rFont val="Tahoma"/>
            <charset val="1"/>
          </rPr>
          <t xml:space="preserve">
Rate changed to 0.00% - underlying data (-0.1065) will remain in the EDS</t>
        </r>
      </text>
    </comment>
    <comment ref="H126" authorId="0" shapeId="0" xr:uid="{F4E5531C-E393-4695-BFD2-998DE878490F}">
      <text>
        <r>
          <rPr>
            <b/>
            <sz val="9"/>
            <color indexed="81"/>
            <rFont val="Tahoma"/>
            <charset val="1"/>
          </rPr>
          <t>Mike Sando:</t>
        </r>
        <r>
          <rPr>
            <sz val="9"/>
            <color indexed="81"/>
            <rFont val="Tahoma"/>
            <charset val="1"/>
          </rPr>
          <t xml:space="preserve">
Rate changed to 0.00% - underlying data (-0.1338) will remain in the EDS</t>
        </r>
      </text>
    </comment>
    <comment ref="F162" authorId="0" shapeId="0" xr:uid="{1D0CC52F-BC37-4084-B804-1F7D2663B5DC}">
      <text>
        <r>
          <rPr>
            <b/>
            <sz val="9"/>
            <color indexed="81"/>
            <rFont val="Tahoma"/>
            <family val="2"/>
          </rPr>
          <t>Mike Sando:</t>
        </r>
        <r>
          <rPr>
            <sz val="9"/>
            <color indexed="81"/>
            <rFont val="Tahoma"/>
            <family val="2"/>
          </rPr>
          <t xml:space="preserve">
Rate changed to 0.00% - underlying data (-0.0095) will remain in the EDS</t>
        </r>
      </text>
    </comment>
    <comment ref="F171" authorId="0" shapeId="0" xr:uid="{319546EB-5B76-47AE-AA82-361C83864F2E}">
      <text>
        <r>
          <rPr>
            <b/>
            <sz val="9"/>
            <color indexed="81"/>
            <rFont val="Tahoma"/>
            <family val="2"/>
          </rPr>
          <t>Mike Sando:</t>
        </r>
        <r>
          <rPr>
            <sz val="9"/>
            <color indexed="81"/>
            <rFont val="Tahoma"/>
            <family val="2"/>
          </rPr>
          <t xml:space="preserve">
Rate changed to 0.00% - underlying data (-0.1020) will remain in the EDS</t>
        </r>
      </text>
    </comment>
    <comment ref="F256" authorId="0" shapeId="0" xr:uid="{70672BA7-E843-477E-9051-128C82BA1957}">
      <text>
        <r>
          <rPr>
            <b/>
            <sz val="9"/>
            <color indexed="81"/>
            <rFont val="Tahoma"/>
            <charset val="1"/>
          </rPr>
          <t>Mike Sando:</t>
        </r>
        <r>
          <rPr>
            <sz val="9"/>
            <color indexed="81"/>
            <rFont val="Tahoma"/>
            <charset val="1"/>
          </rPr>
          <t xml:space="preserve">
Changed from 0.0324 to 0.0327 due to manual revision filed on 5/20/25</t>
        </r>
      </text>
    </comment>
    <comment ref="H256" authorId="0" shapeId="0" xr:uid="{83310249-24E0-4079-9359-A24E7622B327}">
      <text>
        <r>
          <rPr>
            <b/>
            <sz val="9"/>
            <color indexed="81"/>
            <rFont val="Tahoma"/>
            <charset val="1"/>
          </rPr>
          <t>Mike Sando:</t>
        </r>
        <r>
          <rPr>
            <sz val="9"/>
            <color indexed="81"/>
            <rFont val="Tahoma"/>
            <charset val="1"/>
          </rPr>
          <t xml:space="preserve">
Changed form 0.1594 to 0.1503 due to manual revision filed on 5/20/25</t>
        </r>
      </text>
    </comment>
    <comment ref="H291" authorId="0" shapeId="0" xr:uid="{D93A457F-CA13-4262-AB4B-E5F13183D756}">
      <text>
        <r>
          <rPr>
            <b/>
            <sz val="9"/>
            <color indexed="81"/>
            <rFont val="Tahoma"/>
            <charset val="1"/>
          </rPr>
          <t>Mike Sando:</t>
        </r>
        <r>
          <rPr>
            <sz val="9"/>
            <color indexed="81"/>
            <rFont val="Tahoma"/>
            <charset val="1"/>
          </rPr>
          <t xml:space="preserve">
Changed form 0.3146 to 0.3093 due to manual revision filed 5/5/25</t>
        </r>
      </text>
    </comment>
    <comment ref="F302" authorId="0" shapeId="0" xr:uid="{4FE10F50-AE98-45B3-BF8C-F313F17CE047}">
      <text>
        <r>
          <rPr>
            <b/>
            <sz val="9"/>
            <color indexed="81"/>
            <rFont val="Tahoma"/>
            <charset val="1"/>
          </rPr>
          <t>Mike Sando:</t>
        </r>
        <r>
          <rPr>
            <sz val="9"/>
            <color indexed="81"/>
            <rFont val="Tahoma"/>
            <charset val="1"/>
          </rPr>
          <t xml:space="preserve">
Changed from 0.0579 to 0.0580 due to manual revision filed on 6/3/25</t>
        </r>
      </text>
    </comment>
    <comment ref="H302" authorId="0" shapeId="0" xr:uid="{BCB9B89F-B771-4B1E-B84B-21286C40A09E}">
      <text>
        <r>
          <rPr>
            <b/>
            <sz val="9"/>
            <color indexed="81"/>
            <rFont val="Tahoma"/>
            <charset val="1"/>
          </rPr>
          <t>Mike Sando:</t>
        </r>
        <r>
          <rPr>
            <sz val="9"/>
            <color indexed="81"/>
            <rFont val="Tahoma"/>
            <charset val="1"/>
          </rPr>
          <t xml:space="preserve">
Changed from 0.2192 to 0.2193 due to manual revision filed on 6/3/25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Jackie McDonald</author>
  </authors>
  <commentList>
    <comment ref="C3" authorId="0" shapeId="0" xr:uid="{15279089-0013-4DAF-B473-75F566196781}">
      <text>
        <r>
          <rPr>
            <b/>
            <sz val="9"/>
            <color indexed="81"/>
            <rFont val="Tahoma"/>
            <family val="2"/>
          </rPr>
          <t>Jackie McDonald:</t>
        </r>
        <r>
          <rPr>
            <sz val="9"/>
            <color indexed="81"/>
            <rFont val="Tahoma"/>
            <family val="2"/>
          </rPr>
          <t xml:space="preserve">
201
</t>
        </r>
      </text>
    </comment>
    <comment ref="D3" authorId="0" shapeId="0" xr:uid="{FD9157E2-A71A-4332-AF79-49884CB86B8E}">
      <text>
        <r>
          <rPr>
            <b/>
            <sz val="9"/>
            <color indexed="81"/>
            <rFont val="Tahoma"/>
            <family val="2"/>
          </rPr>
          <t>Jackie McDonald:</t>
        </r>
        <r>
          <rPr>
            <sz val="9"/>
            <color indexed="81"/>
            <rFont val="Tahoma"/>
            <family val="2"/>
          </rPr>
          <t xml:space="preserve">
194
</t>
        </r>
      </text>
    </comment>
    <comment ref="E3" authorId="0" shapeId="0" xr:uid="{7804D193-00A1-4139-A3E3-8D1B199A9493}">
      <text>
        <r>
          <rPr>
            <b/>
            <sz val="9"/>
            <color indexed="81"/>
            <rFont val="Tahoma"/>
            <family val="2"/>
          </rPr>
          <t>Jackie McDonald:</t>
        </r>
        <r>
          <rPr>
            <sz val="9"/>
            <color indexed="81"/>
            <rFont val="Tahoma"/>
            <family val="2"/>
          </rPr>
          <t xml:space="preserve">
197
</t>
        </r>
      </text>
    </comment>
    <comment ref="F3" authorId="0" shapeId="0" xr:uid="{EA638F61-5402-4FDA-AC8A-E32B8DEF8589}">
      <text>
        <r>
          <rPr>
            <b/>
            <sz val="9"/>
            <color indexed="81"/>
            <rFont val="Tahoma"/>
            <family val="2"/>
          </rPr>
          <t>Jackie McDonald:</t>
        </r>
        <r>
          <rPr>
            <sz val="9"/>
            <color indexed="81"/>
            <rFont val="Tahoma"/>
            <family val="2"/>
          </rPr>
          <t xml:space="preserve">
200
</t>
        </r>
      </text>
    </comment>
    <comment ref="G3" authorId="0" shapeId="0" xr:uid="{2C5932B4-D1C4-4870-9E15-59E843772A68}">
      <text>
        <r>
          <rPr>
            <b/>
            <sz val="9"/>
            <color indexed="81"/>
            <rFont val="Tahoma"/>
            <family val="2"/>
          </rPr>
          <t>Jackie McDonald:</t>
        </r>
        <r>
          <rPr>
            <sz val="9"/>
            <color indexed="81"/>
            <rFont val="Tahoma"/>
            <family val="2"/>
          </rPr>
          <t xml:space="preserve">
203
</t>
        </r>
      </text>
    </comment>
    <comment ref="H3" authorId="0" shapeId="0" xr:uid="{32D76F12-A52E-43F3-A4F9-88A9A86D4C65}">
      <text>
        <r>
          <rPr>
            <b/>
            <sz val="9"/>
            <color indexed="81"/>
            <rFont val="Tahoma"/>
            <family val="2"/>
          </rPr>
          <t>Jackie McDonald:</t>
        </r>
        <r>
          <rPr>
            <sz val="9"/>
            <color indexed="81"/>
            <rFont val="Tahoma"/>
            <family val="2"/>
          </rPr>
          <t xml:space="preserve">
206
</t>
        </r>
      </text>
    </comment>
    <comment ref="I3" authorId="0" shapeId="0" xr:uid="{82F72EB0-1DB0-4CFD-BD77-CCB6205C7A7B}">
      <text>
        <r>
          <rPr>
            <b/>
            <sz val="9"/>
            <color indexed="81"/>
            <rFont val="Tahoma"/>
            <family val="2"/>
          </rPr>
          <t>Jackie McDonald:</t>
        </r>
        <r>
          <rPr>
            <sz val="9"/>
            <color indexed="81"/>
            <rFont val="Tahoma"/>
            <family val="2"/>
          </rPr>
          <t xml:space="preserve">
205
</t>
        </r>
      </text>
    </comment>
    <comment ref="J3" authorId="0" shapeId="0" xr:uid="{9B97AB93-7ABC-4CFA-B726-405013B872F1}">
      <text>
        <r>
          <rPr>
            <b/>
            <sz val="9"/>
            <color indexed="81"/>
            <rFont val="Tahoma"/>
            <family val="2"/>
          </rPr>
          <t>Jackie McDonald:</t>
        </r>
        <r>
          <rPr>
            <sz val="9"/>
            <color indexed="81"/>
            <rFont val="Tahoma"/>
            <family val="2"/>
          </rPr>
          <t xml:space="preserve">
207
</t>
        </r>
      </text>
    </comment>
    <comment ref="K3" authorId="0" shapeId="0" xr:uid="{CC9CC835-7275-47DD-B9D9-EE2606448FF8}">
      <text>
        <r>
          <rPr>
            <b/>
            <sz val="9"/>
            <color indexed="81"/>
            <rFont val="Tahoma"/>
            <family val="2"/>
          </rPr>
          <t>Jackie McDonald:</t>
        </r>
        <r>
          <rPr>
            <sz val="9"/>
            <color indexed="81"/>
            <rFont val="Tahoma"/>
            <family val="2"/>
          </rPr>
          <t xml:space="preserve">
208</t>
        </r>
      </text>
    </comment>
    <comment ref="L3" authorId="0" shapeId="0" xr:uid="{FCE1C41A-1A6A-4599-9DA0-07BA2F5A0355}">
      <text>
        <r>
          <rPr>
            <b/>
            <sz val="9"/>
            <color indexed="81"/>
            <rFont val="Tahoma"/>
            <family val="2"/>
          </rPr>
          <t>Jackie McDonald:</t>
        </r>
        <r>
          <rPr>
            <sz val="9"/>
            <color indexed="81"/>
            <rFont val="Tahoma"/>
            <family val="2"/>
          </rPr>
          <t xml:space="preserve">
87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Jackie McDonald</author>
  </authors>
  <commentList>
    <comment ref="AU5" authorId="0" shapeId="0" xr:uid="{CCCD65D1-955B-46EA-8B07-12AB8A13B015}">
      <text>
        <r>
          <rPr>
            <b/>
            <sz val="9"/>
            <color indexed="81"/>
            <rFont val="Tahoma"/>
            <family val="2"/>
          </rPr>
          <t>Jackie McDonald:</t>
        </r>
        <r>
          <rPr>
            <sz val="9"/>
            <color indexed="81"/>
            <rFont val="Tahoma"/>
            <family val="2"/>
          </rPr>
          <t xml:space="preserve">
201
</t>
        </r>
      </text>
    </comment>
    <comment ref="AV5" authorId="0" shapeId="0" xr:uid="{286D20EA-F03D-4081-8078-1E6A20269FA6}">
      <text>
        <r>
          <rPr>
            <b/>
            <sz val="9"/>
            <color indexed="81"/>
            <rFont val="Tahoma"/>
            <family val="2"/>
          </rPr>
          <t>Jackie McDonald:</t>
        </r>
        <r>
          <rPr>
            <sz val="9"/>
            <color indexed="81"/>
            <rFont val="Tahoma"/>
            <family val="2"/>
          </rPr>
          <t xml:space="preserve">
194
</t>
        </r>
      </text>
    </comment>
    <comment ref="AW5" authorId="0" shapeId="0" xr:uid="{467A2183-DB2B-4E43-A399-DB82F64BCBFE}">
      <text>
        <r>
          <rPr>
            <b/>
            <sz val="9"/>
            <color indexed="81"/>
            <rFont val="Tahoma"/>
            <family val="2"/>
          </rPr>
          <t>Jackie McDonald:</t>
        </r>
        <r>
          <rPr>
            <sz val="9"/>
            <color indexed="81"/>
            <rFont val="Tahoma"/>
            <family val="2"/>
          </rPr>
          <t xml:space="preserve">
197
</t>
        </r>
      </text>
    </comment>
    <comment ref="AX5" authorId="0" shapeId="0" xr:uid="{4D93E8EB-C6F5-4C5B-8C94-CE348F84D44E}">
      <text>
        <r>
          <rPr>
            <b/>
            <sz val="9"/>
            <color indexed="81"/>
            <rFont val="Tahoma"/>
            <family val="2"/>
          </rPr>
          <t>Jackie McDonald:</t>
        </r>
        <r>
          <rPr>
            <sz val="9"/>
            <color indexed="81"/>
            <rFont val="Tahoma"/>
            <family val="2"/>
          </rPr>
          <t xml:space="preserve">
200
</t>
        </r>
      </text>
    </comment>
    <comment ref="AY5" authorId="0" shapeId="0" xr:uid="{BBC421B5-A422-4FC1-9904-686BFAC06998}">
      <text>
        <r>
          <rPr>
            <b/>
            <sz val="9"/>
            <color indexed="81"/>
            <rFont val="Tahoma"/>
            <family val="2"/>
          </rPr>
          <t>Jackie McDonald:</t>
        </r>
        <r>
          <rPr>
            <sz val="9"/>
            <color indexed="81"/>
            <rFont val="Tahoma"/>
            <family val="2"/>
          </rPr>
          <t xml:space="preserve">
203
</t>
        </r>
      </text>
    </comment>
    <comment ref="AZ5" authorId="0" shapeId="0" xr:uid="{E88CC3C6-4351-4217-9CB4-3B4C5020C4BB}">
      <text>
        <r>
          <rPr>
            <b/>
            <sz val="9"/>
            <color indexed="81"/>
            <rFont val="Tahoma"/>
            <family val="2"/>
          </rPr>
          <t>Jackie McDonald:</t>
        </r>
        <r>
          <rPr>
            <sz val="9"/>
            <color indexed="81"/>
            <rFont val="Tahoma"/>
            <family val="2"/>
          </rPr>
          <t xml:space="preserve">
206
</t>
        </r>
      </text>
    </comment>
    <comment ref="BA5" authorId="0" shapeId="0" xr:uid="{8399D7D3-60C6-4B69-8EE1-F75BFDAAD1A2}">
      <text>
        <r>
          <rPr>
            <b/>
            <sz val="9"/>
            <color indexed="81"/>
            <rFont val="Tahoma"/>
            <family val="2"/>
          </rPr>
          <t>Jackie McDonald:</t>
        </r>
        <r>
          <rPr>
            <sz val="9"/>
            <color indexed="81"/>
            <rFont val="Tahoma"/>
            <family val="2"/>
          </rPr>
          <t xml:space="preserve">
205
</t>
        </r>
      </text>
    </comment>
    <comment ref="BB5" authorId="0" shapeId="0" xr:uid="{F44465C2-A9A6-4B39-BCA9-FF4130C70AA4}">
      <text>
        <r>
          <rPr>
            <b/>
            <sz val="9"/>
            <color indexed="81"/>
            <rFont val="Tahoma"/>
            <family val="2"/>
          </rPr>
          <t>Jackie McDonald:</t>
        </r>
        <r>
          <rPr>
            <sz val="9"/>
            <color indexed="81"/>
            <rFont val="Tahoma"/>
            <family val="2"/>
          </rPr>
          <t xml:space="preserve">
207
</t>
        </r>
      </text>
    </comment>
    <comment ref="BC5" authorId="0" shapeId="0" xr:uid="{8575C91C-B073-4DF4-A3C0-9813F2131202}">
      <text>
        <r>
          <rPr>
            <b/>
            <sz val="9"/>
            <color indexed="81"/>
            <rFont val="Tahoma"/>
            <family val="2"/>
          </rPr>
          <t>Jackie McDonald:</t>
        </r>
        <r>
          <rPr>
            <sz val="9"/>
            <color indexed="81"/>
            <rFont val="Tahoma"/>
            <family val="2"/>
          </rPr>
          <t xml:space="preserve">
208</t>
        </r>
      </text>
    </comment>
    <comment ref="BD5" authorId="0" shapeId="0" xr:uid="{1B1A1442-E5A4-4543-B902-CAD8789DD942}">
      <text>
        <r>
          <rPr>
            <b/>
            <sz val="9"/>
            <color indexed="81"/>
            <rFont val="Tahoma"/>
            <family val="2"/>
          </rPr>
          <t>Jackie McDonald:</t>
        </r>
        <r>
          <rPr>
            <sz val="9"/>
            <color indexed="81"/>
            <rFont val="Tahoma"/>
            <family val="2"/>
          </rPr>
          <t xml:space="preserve">
87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Paul Stone</author>
  </authors>
  <commentList>
    <comment ref="E6" authorId="0" shapeId="0" xr:uid="{8E90FC3E-AE15-44C3-9C60-62CA529EEDED}">
      <text>
        <r>
          <rPr>
            <b/>
            <sz val="9"/>
            <color indexed="81"/>
            <rFont val="Tahoma"/>
            <family val="2"/>
          </rPr>
          <t>Paul Stone: To Do - Once the 1800 sum report is completed for 19-20, move the 19-20 figures here.</t>
        </r>
        <r>
          <rPr>
            <sz val="9"/>
            <color indexed="81"/>
            <rFont val="Tahoma"/>
            <family val="2"/>
          </rPr>
          <t xml:space="preserve">
</t>
        </r>
      </text>
    </comment>
    <comment ref="F6" authorId="0" shapeId="0" xr:uid="{E72144CA-BE46-4F46-B20A-67E9342C53F7}">
      <text>
        <r>
          <rPr>
            <b/>
            <sz val="9"/>
            <color indexed="81"/>
            <rFont val="Tahoma"/>
            <family val="2"/>
          </rPr>
          <t>Paul Stone: To Do - Once the 1800 sum report is completed for 19-20, move the 19-20 figures here.</t>
        </r>
        <r>
          <rPr>
            <sz val="9"/>
            <color indexed="81"/>
            <rFont val="Tahoma"/>
            <family val="2"/>
          </rPr>
          <t xml:space="preserve">
</t>
        </r>
      </text>
    </comment>
    <comment ref="G6" authorId="0" shapeId="0" xr:uid="{03451493-E897-43F3-9DE7-474D46FD10C8}">
      <text>
        <r>
          <rPr>
            <b/>
            <sz val="9"/>
            <color indexed="81"/>
            <rFont val="Tahoma"/>
            <family val="2"/>
          </rPr>
          <t>Paul Stone: To Do - Once the 1800 sum report is completed for 19-20, move the 19-20 figures here.</t>
        </r>
        <r>
          <rPr>
            <sz val="9"/>
            <color indexed="81"/>
            <rFont val="Tahoma"/>
            <family val="2"/>
          </rPr>
          <t xml:space="preserve">
</t>
        </r>
      </text>
    </comment>
    <comment ref="H6" authorId="0" shapeId="0" xr:uid="{3304E298-D9ED-4769-AC29-727961963FF0}">
      <text>
        <r>
          <rPr>
            <b/>
            <sz val="9"/>
            <color indexed="81"/>
            <rFont val="Tahoma"/>
            <family val="2"/>
          </rPr>
          <t>Paul Stone: To Do - Once the 1800 sum report is completed for 19-20, move the 19-20 figures here.</t>
        </r>
        <r>
          <rPr>
            <sz val="9"/>
            <color indexed="81"/>
            <rFont val="Tahoma"/>
            <family val="2"/>
          </rPr>
          <t xml:space="preserve">
</t>
        </r>
      </text>
    </comment>
    <comment ref="Y6" authorId="0" shapeId="0" xr:uid="{260E3F72-752A-4A20-A539-077BF06CEED4}">
      <text>
        <r>
          <rPr>
            <b/>
            <sz val="9"/>
            <color indexed="81"/>
            <rFont val="Tahoma"/>
            <family val="2"/>
          </rPr>
          <t>Paul Stone: To Do - Once the 1800 sum report is completed for 19-20, move the 19-20 figures here.</t>
        </r>
        <r>
          <rPr>
            <sz val="9"/>
            <color indexed="81"/>
            <rFont val="Tahoma"/>
            <family val="2"/>
          </rPr>
          <t xml:space="preserve">
</t>
        </r>
      </text>
    </comment>
    <comment ref="Z6" authorId="0" shapeId="0" xr:uid="{DD3F447E-5A33-4D77-8587-F7797756797C}">
      <text>
        <r>
          <rPr>
            <b/>
            <sz val="9"/>
            <color indexed="81"/>
            <rFont val="Tahoma"/>
            <family val="2"/>
          </rPr>
          <t>Paul Stone: To Do - Once the 1800 sum report is completed for 19-20, move the 19-20 figures here.</t>
        </r>
        <r>
          <rPr>
            <sz val="9"/>
            <color indexed="81"/>
            <rFont val="Tahoma"/>
            <family val="2"/>
          </rPr>
          <t xml:space="preserve">
</t>
        </r>
      </text>
    </comment>
    <comment ref="AA6" authorId="0" shapeId="0" xr:uid="{4BA3B614-4E42-4F18-969A-AB7B35D4C900}">
      <text>
        <r>
          <rPr>
            <b/>
            <sz val="9"/>
            <color indexed="81"/>
            <rFont val="Tahoma"/>
            <family val="2"/>
          </rPr>
          <t>Paul Stone: To Do - Once the 1800 sum report is completed for 19-20, move the 19-20 figures here.</t>
        </r>
        <r>
          <rPr>
            <sz val="9"/>
            <color indexed="81"/>
            <rFont val="Tahoma"/>
            <family val="2"/>
          </rPr>
          <t xml:space="preserve">
</t>
        </r>
      </text>
    </comment>
    <comment ref="AB6" authorId="0" shapeId="0" xr:uid="{29D80236-E3E9-4FFA-8B9E-378C67B16E4C}">
      <text>
        <r>
          <rPr>
            <b/>
            <sz val="9"/>
            <color indexed="81"/>
            <rFont val="Tahoma"/>
            <family val="2"/>
          </rPr>
          <t>Paul Stone: To Do - Once the 1800 sum report is completed for 19-20, move the 19-20 figures here.</t>
        </r>
        <r>
          <rPr>
            <sz val="9"/>
            <color indexed="81"/>
            <rFont val="Tahoma"/>
            <family val="2"/>
          </rPr>
          <t xml:space="preserve">
</t>
        </r>
      </text>
    </comment>
    <comment ref="AK6" authorId="0" shapeId="0" xr:uid="{698B16C4-3BCA-40F9-9837-7196EF183047}">
      <text>
        <r>
          <rPr>
            <b/>
            <sz val="9"/>
            <color indexed="81"/>
            <rFont val="Tahoma"/>
            <family val="2"/>
          </rPr>
          <t>Paul Stone: To Do - Once the 1800 sum report is completed for 19-20, move the 19-20 figures here.</t>
        </r>
        <r>
          <rPr>
            <sz val="9"/>
            <color indexed="81"/>
            <rFont val="Tahoma"/>
            <family val="2"/>
          </rPr>
          <t xml:space="preserve">
</t>
        </r>
      </text>
    </comment>
    <comment ref="AL6" authorId="0" shapeId="0" xr:uid="{949247D6-1EA1-41B2-905D-79B3A3CE26DB}">
      <text>
        <r>
          <rPr>
            <b/>
            <sz val="9"/>
            <color indexed="81"/>
            <rFont val="Tahoma"/>
            <family val="2"/>
          </rPr>
          <t>Paul Stone: To Do - Once the 1800 sum report is completed for 19-20, move the 19-20 figures here.</t>
        </r>
        <r>
          <rPr>
            <sz val="9"/>
            <color indexed="81"/>
            <rFont val="Tahoma"/>
            <family val="2"/>
          </rPr>
          <t xml:space="preserve">
</t>
        </r>
      </text>
    </comment>
    <comment ref="AM6" authorId="0" shapeId="0" xr:uid="{5FA9C979-DF7B-4B7E-AB8F-911BACB92545}">
      <text>
        <r>
          <rPr>
            <b/>
            <sz val="9"/>
            <color indexed="81"/>
            <rFont val="Tahoma"/>
            <family val="2"/>
          </rPr>
          <t>Paul Stone: To Do - Once the 1800 sum report is completed for 19-20, move the 19-20 figures here.</t>
        </r>
        <r>
          <rPr>
            <sz val="9"/>
            <color indexed="81"/>
            <rFont val="Tahoma"/>
            <family val="2"/>
          </rPr>
          <t xml:space="preserve">
</t>
        </r>
      </text>
    </comment>
    <comment ref="AN6" authorId="0" shapeId="0" xr:uid="{018BFDD3-A5D2-4D84-A472-001BF5AACA32}">
      <text>
        <r>
          <rPr>
            <b/>
            <sz val="9"/>
            <color indexed="81"/>
            <rFont val="Tahoma"/>
            <family val="2"/>
          </rPr>
          <t>Paul Stone: To Do - Once the 1800 sum report is completed for 19-20, move the 19-20 figures here.</t>
        </r>
        <r>
          <rPr>
            <sz val="9"/>
            <color indexed="81"/>
            <rFont val="Tahoma"/>
            <family val="2"/>
          </rPr>
          <t xml:space="preserve">
</t>
        </r>
      </text>
    </comment>
    <comment ref="AU6" authorId="0" shapeId="0" xr:uid="{81C342C0-C818-483B-9BAE-A6ABEB1AB07D}">
      <text>
        <r>
          <rPr>
            <b/>
            <sz val="9"/>
            <color indexed="81"/>
            <rFont val="Tahoma"/>
            <family val="2"/>
          </rPr>
          <t>Paul Stone: To Do - Once the 1800 sum report is completed for 19-20, move the 19-20 figures here.</t>
        </r>
        <r>
          <rPr>
            <sz val="9"/>
            <color indexed="81"/>
            <rFont val="Tahoma"/>
            <family val="2"/>
          </rPr>
          <t xml:space="preserve">
</t>
        </r>
      </text>
    </comment>
    <comment ref="AV6" authorId="0" shapeId="0" xr:uid="{6F6AADB5-C029-43C9-86D1-4077CCAE9EA4}">
      <text>
        <r>
          <rPr>
            <b/>
            <sz val="9"/>
            <color indexed="81"/>
            <rFont val="Tahoma"/>
            <family val="2"/>
          </rPr>
          <t>Paul Stone: To Do - Once the 1800 sum report is completed for 19-20, move the 19-20 figures here.</t>
        </r>
        <r>
          <rPr>
            <sz val="9"/>
            <color indexed="81"/>
            <rFont val="Tahoma"/>
            <family val="2"/>
          </rPr>
          <t xml:space="preserve">
</t>
        </r>
      </text>
    </comment>
    <comment ref="AW6" authorId="0" shapeId="0" xr:uid="{2F8A9A9B-255D-47BF-9BE6-B61289F3E595}">
      <text>
        <r>
          <rPr>
            <b/>
            <sz val="9"/>
            <color indexed="81"/>
            <rFont val="Tahoma"/>
            <family val="2"/>
          </rPr>
          <t>Paul Stone: To Do - Once the 1800 sum report is completed for 19-20, move the 19-20 figures here.</t>
        </r>
        <r>
          <rPr>
            <sz val="9"/>
            <color indexed="81"/>
            <rFont val="Tahoma"/>
            <family val="2"/>
          </rPr>
          <t xml:space="preserve">
</t>
        </r>
      </text>
    </comment>
  </commentList>
</comments>
</file>

<file path=xl/sharedStrings.xml><?xml version="1.0" encoding="utf-8"?>
<sst xmlns="http://schemas.openxmlformats.org/spreadsheetml/2006/main" count="15758" uniqueCount="2686">
  <si>
    <t>GL 840 - Nonspendable Fund Balance--Inventory and Prepaid Items</t>
  </si>
  <si>
    <t>Total Fund Balance</t>
  </si>
  <si>
    <t>Nonspendable</t>
  </si>
  <si>
    <t>GF</t>
  </si>
  <si>
    <t>CPF</t>
  </si>
  <si>
    <t>DSF</t>
  </si>
  <si>
    <t>ASB</t>
  </si>
  <si>
    <t>TVF</t>
  </si>
  <si>
    <t>PF</t>
  </si>
  <si>
    <t>GL 840 Inventory &amp; Prepaid Items</t>
  </si>
  <si>
    <t>GL 855 Trust Principal</t>
  </si>
  <si>
    <t>Restricted</t>
  </si>
  <si>
    <t>GL 810 Other Items</t>
  </si>
  <si>
    <t>GL 815 Unequalized Deductible Revenues</t>
  </si>
  <si>
    <t>GL 821 Carryover of Restricted Revenues</t>
  </si>
  <si>
    <t>GL 830 Debt Service</t>
  </si>
  <si>
    <t>GL 845 Self-Insurance</t>
  </si>
  <si>
    <t>GL 850 Uninsured Risks</t>
  </si>
  <si>
    <t>GL 861 Bond Proceeds</t>
  </si>
  <si>
    <t>GL 862 Levy Proceeds</t>
  </si>
  <si>
    <t>GL 863 State Proceeds</t>
  </si>
  <si>
    <t>GL 864 Federal Proceeds</t>
  </si>
  <si>
    <t>GL 865 Other Proceeds</t>
  </si>
  <si>
    <t>GL 866 Impact Fee Proceeds</t>
  </si>
  <si>
    <t>GL 867 Mitigation Fee Proceeds</t>
  </si>
  <si>
    <t>GL 869 Undistributed Proceeds</t>
  </si>
  <si>
    <t>Committed</t>
  </si>
  <si>
    <t>GL 870 Other Purposes</t>
  </si>
  <si>
    <t>Assigned</t>
  </si>
  <si>
    <t>GL 875 Contingencies</t>
  </si>
  <si>
    <t>GL 884 Other Capital Projects</t>
  </si>
  <si>
    <t>GL 888 Other Purposes</t>
  </si>
  <si>
    <t>GL 889 Fund Purposes</t>
  </si>
  <si>
    <t>Unassigned</t>
  </si>
  <si>
    <t>GL 890 Unassigned Fund Balance</t>
  </si>
  <si>
    <t>Reported Final Fund Balance</t>
  </si>
  <si>
    <t>GL 810 Restricted for Other Items (GF, CPF, DSF, ASB, TVF, PF)</t>
  </si>
  <si>
    <t>(Return to sheet)</t>
  </si>
  <si>
    <t>GL 815 Restricted for Unequalized Deductible Revenues</t>
  </si>
  <si>
    <t>(Return to summary sheet)</t>
  </si>
  <si>
    <t>Beginning Balance (from prior year financial data)</t>
  </si>
  <si>
    <t>Deductible revenues reduced in fiscal year</t>
  </si>
  <si>
    <t>Net balance</t>
  </si>
  <si>
    <t>Deductible revenues received but not equalized</t>
  </si>
  <si>
    <t>Revenue 1400 Local in Lieu of Taxes</t>
  </si>
  <si>
    <t>Revenue 1600 County-Administered Forests</t>
  </si>
  <si>
    <t>Revenue 3600 State Forests</t>
  </si>
  <si>
    <t>Revenue 5400 Federal in lieu of Taxes</t>
  </si>
  <si>
    <t>Revenue 5500 Federal Forests</t>
  </si>
  <si>
    <t>Total Deductible revenues received but not equalized</t>
  </si>
  <si>
    <t>GL 821 Restricted for Carryover of Restricted Revenues</t>
  </si>
  <si>
    <t>General Fund</t>
  </si>
  <si>
    <t>Special Education Program 21</t>
  </si>
  <si>
    <t>Direct Expenditures</t>
  </si>
  <si>
    <t>State Recovery Rate</t>
  </si>
  <si>
    <t>Add Current Year Allocation (from 1197)</t>
  </si>
  <si>
    <t>Total Available</t>
  </si>
  <si>
    <t>Expenditures</t>
  </si>
  <si>
    <t>Beginning Balance (PY Carryover)</t>
  </si>
  <si>
    <t>Revenue 3121 Allotment</t>
  </si>
  <si>
    <t>Indirect Expenditures</t>
  </si>
  <si>
    <t>Subtotal</t>
  </si>
  <si>
    <t>Revenue 7121</t>
  </si>
  <si>
    <t>Net</t>
  </si>
  <si>
    <t>Carryover</t>
  </si>
  <si>
    <t>LAP Program 55</t>
  </si>
  <si>
    <t>Federal Restricted Indirect Rate</t>
  </si>
  <si>
    <t>Federal Unrestricted Indirect Rate</t>
  </si>
  <si>
    <t>Vocational Education Program 31</t>
  </si>
  <si>
    <t>Minimum Direct Expenditures (from 1191)</t>
  </si>
  <si>
    <t>State Institutions Program 26</t>
  </si>
  <si>
    <t>State Institutions Program 56</t>
  </si>
  <si>
    <t>Total</t>
  </si>
  <si>
    <t>Program 21 Carryover</t>
  </si>
  <si>
    <t>Program 55 Carryover</t>
  </si>
  <si>
    <t>Program 31 Carryover</t>
  </si>
  <si>
    <t>Program 26 Carryover</t>
  </si>
  <si>
    <t>Program 56 Carryover</t>
  </si>
  <si>
    <t>Total Restricted Revenue Carryover</t>
  </si>
  <si>
    <t>CCDDD</t>
  </si>
  <si>
    <t>Due to the number of different options, we present some of the more common choices for fund balance policies.</t>
  </si>
  <si>
    <t>Policy based on percentage range of expenditures</t>
  </si>
  <si>
    <t>Total Fund Expenditures</t>
  </si>
  <si>
    <t>Minimum Fund Balance Policy Percent</t>
  </si>
  <si>
    <t>Maximum Fund Balance Policy Percent</t>
  </si>
  <si>
    <t>Minimum Fund Balance Policy Amount</t>
  </si>
  <si>
    <t>Maximum Fund Balance Policy Amount</t>
  </si>
  <si>
    <t>Policy based on single percentage of expenditures</t>
  </si>
  <si>
    <t>Fund Balance Policy Percent</t>
  </si>
  <si>
    <t>Fund Balance Policy Amount</t>
  </si>
  <si>
    <t>General Fund, ASB Fund</t>
  </si>
  <si>
    <t>Amount in GL 410 Inventory--Supplies and Materials</t>
  </si>
  <si>
    <t>Amount in GL 420 Inventory--Lunchrooms</t>
  </si>
  <si>
    <t>Amount in GL 430 Prepaid Items</t>
  </si>
  <si>
    <t>Total to Report in GL 840</t>
  </si>
  <si>
    <t>ASB Fund</t>
  </si>
  <si>
    <t>Total to Report in GL 840, Fund 4</t>
  </si>
  <si>
    <t>17408</t>
  </si>
  <si>
    <t>Capital Projects Fund</t>
  </si>
  <si>
    <t>Debt Service Fund</t>
  </si>
  <si>
    <t xml:space="preserve">ASB Fund </t>
  </si>
  <si>
    <t>Transportation Vehicle Fund</t>
  </si>
  <si>
    <t>Permanent Fund</t>
  </si>
  <si>
    <t>(Enter description of Restriction)</t>
  </si>
  <si>
    <t>GL 830 Restricted for Debt Service</t>
  </si>
  <si>
    <t>General Fund, Capital Projects Fund, Transportation Vehicle Fund</t>
  </si>
  <si>
    <t>Enter amount or other details as needed</t>
  </si>
  <si>
    <t>GL 835 Arbitrage Rebate</t>
  </si>
  <si>
    <t>GL 835 Restricted for Arbitrage Rebate</t>
  </si>
  <si>
    <t>General Fund, CPF, TVF, DSF</t>
  </si>
  <si>
    <t>GL 861 Restricted from Bond Proceeds</t>
  </si>
  <si>
    <t>Beginning Balance</t>
  </si>
  <si>
    <t>Additions</t>
  </si>
  <si>
    <t>Bonds Sold</t>
  </si>
  <si>
    <t>Interest Earned from Bonds</t>
  </si>
  <si>
    <t>Total Additions</t>
  </si>
  <si>
    <t>Expenditures (Source/Use Code 1)</t>
  </si>
  <si>
    <t>Ending Balance</t>
  </si>
  <si>
    <t>GL 863 Restricted from State Proceeds</t>
  </si>
  <si>
    <t>GL 864 Restricted from Federal Proceeds</t>
  </si>
  <si>
    <t>GL 865 Restricted from Other Proceeds</t>
  </si>
  <si>
    <t>GL 866 Restricted from Impact Fee Proceeds</t>
  </si>
  <si>
    <t>GL 867 Restricted from Mitigation Fee Proceeds</t>
  </si>
  <si>
    <t>GL 869 Restricted from Undistributed Proceeds</t>
  </si>
  <si>
    <t>Levy Revenue Collected</t>
  </si>
  <si>
    <t>Interest Earned from Levy Proceeds</t>
  </si>
  <si>
    <t>Expenditures (Source/Use Code 2)</t>
  </si>
  <si>
    <t>State Proceeds Received</t>
  </si>
  <si>
    <t>Interest Earned from State Proceeds</t>
  </si>
  <si>
    <t>Expenditures (Source/Use Code 3)</t>
  </si>
  <si>
    <t>Federal Proceeds Received</t>
  </si>
  <si>
    <t>Interest Earned from Federal Proceeds</t>
  </si>
  <si>
    <t>Expenditures (Source/Use Code 4)</t>
  </si>
  <si>
    <t>Other Financing Sources</t>
  </si>
  <si>
    <t>Interest Earned from O.F.S.</t>
  </si>
  <si>
    <t>Expenditures (Source/Use Code 5)</t>
  </si>
  <si>
    <t>Impact Fees Collected</t>
  </si>
  <si>
    <t>Interest Earned from Impact Fees</t>
  </si>
  <si>
    <t>Expenditures (Source/Use Code 6)</t>
  </si>
  <si>
    <t>Mitigation Fees Collected</t>
  </si>
  <si>
    <t>Interest Earned from Mitigation Fees</t>
  </si>
  <si>
    <t>Expenditures (Source/Use Code 7)</t>
  </si>
  <si>
    <t>Undistributed/Other Revenues</t>
  </si>
  <si>
    <t>Interest Earned</t>
  </si>
  <si>
    <t>Expenditures (Source/Use Code 9)</t>
  </si>
  <si>
    <t>GL 870 Committed to Other Purposes</t>
  </si>
  <si>
    <t>GF, CPF, DSF, ASB, PF, TVF</t>
  </si>
  <si>
    <t>Capital Projects</t>
  </si>
  <si>
    <t>Transportation Vehicle</t>
  </si>
  <si>
    <t>GL 855 - Nonspendable Fund Balance - Trust Principal</t>
  </si>
  <si>
    <t>(Return to Summary Sheet)</t>
  </si>
  <si>
    <t>Additions to Principal Balance</t>
  </si>
  <si>
    <t>GL 875 Assigned to Contingencies</t>
  </si>
  <si>
    <t>(Brief description of Contingency)</t>
  </si>
  <si>
    <t>GL 884 Assigned to Other Capital Projects</t>
  </si>
  <si>
    <t>(Enter a brief description of project)</t>
  </si>
  <si>
    <t>GL 888 Assigned to Other Purposes</t>
  </si>
  <si>
    <t>(Enter brief description of assignment's purposes)</t>
  </si>
  <si>
    <t>GL 845 Restricted for Self-Insurance</t>
  </si>
  <si>
    <t>(Description of amount)</t>
  </si>
  <si>
    <t>GL 850 Restricted for Uninsured Risks</t>
  </si>
  <si>
    <t>(Description of restriction)</t>
  </si>
  <si>
    <t>Enter the amount of arbitrage rebate calculated.</t>
  </si>
  <si>
    <t>01109</t>
  </si>
  <si>
    <t>WASHTUCNA</t>
  </si>
  <si>
    <t>01122</t>
  </si>
  <si>
    <t>BENGE</t>
  </si>
  <si>
    <t>01147</t>
  </si>
  <si>
    <t>OTHELLO</t>
  </si>
  <si>
    <t>01158</t>
  </si>
  <si>
    <t>LIND</t>
  </si>
  <si>
    <t>01160</t>
  </si>
  <si>
    <t>RITZVILLE</t>
  </si>
  <si>
    <t>02250</t>
  </si>
  <si>
    <t>CLARKSTON</t>
  </si>
  <si>
    <t>02420</t>
  </si>
  <si>
    <t>ASOTIN</t>
  </si>
  <si>
    <t>03017</t>
  </si>
  <si>
    <t>KENNEWICK</t>
  </si>
  <si>
    <t>03050</t>
  </si>
  <si>
    <t>PATERSON</t>
  </si>
  <si>
    <t>03052</t>
  </si>
  <si>
    <t>KIONA BENTON</t>
  </si>
  <si>
    <t>03053</t>
  </si>
  <si>
    <t>FINLEY</t>
  </si>
  <si>
    <t>03116</t>
  </si>
  <si>
    <t>PROSSER</t>
  </si>
  <si>
    <t>03400</t>
  </si>
  <si>
    <t>RICHLAND</t>
  </si>
  <si>
    <t>04019</t>
  </si>
  <si>
    <t>MANSON</t>
  </si>
  <si>
    <t>04069</t>
  </si>
  <si>
    <t>STEHEKIN</t>
  </si>
  <si>
    <t>04127</t>
  </si>
  <si>
    <t>ENTIAT</t>
  </si>
  <si>
    <t>04129</t>
  </si>
  <si>
    <t>LAKE CHELAN</t>
  </si>
  <si>
    <t>04222</t>
  </si>
  <si>
    <t>CASHMERE</t>
  </si>
  <si>
    <t>04228</t>
  </si>
  <si>
    <t>CASCADE</t>
  </si>
  <si>
    <t>04246</t>
  </si>
  <si>
    <t>WENATCHEE</t>
  </si>
  <si>
    <t>05121</t>
  </si>
  <si>
    <t>PORT ANGELES</t>
  </si>
  <si>
    <t>05313</t>
  </si>
  <si>
    <t>CRESCENT</t>
  </si>
  <si>
    <t>05323</t>
  </si>
  <si>
    <t>SEQUIM</t>
  </si>
  <si>
    <t>05401</t>
  </si>
  <si>
    <t>CAPE FLATTERY</t>
  </si>
  <si>
    <t>05402</t>
  </si>
  <si>
    <t>QUILLAYUTE VALLEY</t>
  </si>
  <si>
    <t>06037</t>
  </si>
  <si>
    <t>VANCOUVER</t>
  </si>
  <si>
    <t>06098</t>
  </si>
  <si>
    <t>HOCKINSON</t>
  </si>
  <si>
    <t>06101</t>
  </si>
  <si>
    <t>06103</t>
  </si>
  <si>
    <t>GREEN MOUNTAIN</t>
  </si>
  <si>
    <t>06112</t>
  </si>
  <si>
    <t>WASHOUGAL</t>
  </si>
  <si>
    <t>06114</t>
  </si>
  <si>
    <t>06117</t>
  </si>
  <si>
    <t>CAMAS</t>
  </si>
  <si>
    <t>06119</t>
  </si>
  <si>
    <t>BATTLE GROUND</t>
  </si>
  <si>
    <t>06122</t>
  </si>
  <si>
    <t>RIDGEFIELD</t>
  </si>
  <si>
    <t>07002</t>
  </si>
  <si>
    <t>DAYTON</t>
  </si>
  <si>
    <t>07035</t>
  </si>
  <si>
    <t>STARBUCK</t>
  </si>
  <si>
    <t>08122</t>
  </si>
  <si>
    <t>LONGVIEW</t>
  </si>
  <si>
    <t>08130</t>
  </si>
  <si>
    <t>TOUTLE LAKE</t>
  </si>
  <si>
    <t>08401</t>
  </si>
  <si>
    <t>CASTLE ROCK</t>
  </si>
  <si>
    <t>08402</t>
  </si>
  <si>
    <t>KALAMA</t>
  </si>
  <si>
    <t>08404</t>
  </si>
  <si>
    <t>WOODLAND</t>
  </si>
  <si>
    <t>08458</t>
  </si>
  <si>
    <t>KELSO</t>
  </si>
  <si>
    <t>09013</t>
  </si>
  <si>
    <t>ORONDO</t>
  </si>
  <si>
    <t>09075</t>
  </si>
  <si>
    <t>BRIDGEPORT</t>
  </si>
  <si>
    <t>09102</t>
  </si>
  <si>
    <t>PALISADES</t>
  </si>
  <si>
    <t>09206</t>
  </si>
  <si>
    <t>EASTMONT</t>
  </si>
  <si>
    <t>09207</t>
  </si>
  <si>
    <t>MANSFIELD</t>
  </si>
  <si>
    <t>09209</t>
  </si>
  <si>
    <t>WATERVILLE</t>
  </si>
  <si>
    <t>10003</t>
  </si>
  <si>
    <t>KELLER</t>
  </si>
  <si>
    <t>10050</t>
  </si>
  <si>
    <t>CURLEW</t>
  </si>
  <si>
    <t>10065</t>
  </si>
  <si>
    <t>ORIENT</t>
  </si>
  <si>
    <t>10070</t>
  </si>
  <si>
    <t>INCHELIUM</t>
  </si>
  <si>
    <t>10309</t>
  </si>
  <si>
    <t>REPUBLIC</t>
  </si>
  <si>
    <t>11001</t>
  </si>
  <si>
    <t>PASCO</t>
  </si>
  <si>
    <t>11051</t>
  </si>
  <si>
    <t>NORTH FRANKLIN</t>
  </si>
  <si>
    <t>11054</t>
  </si>
  <si>
    <t>STAR</t>
  </si>
  <si>
    <t>11056</t>
  </si>
  <si>
    <t>KAHLOTUS</t>
  </si>
  <si>
    <t>12110</t>
  </si>
  <si>
    <t>POMEROY</t>
  </si>
  <si>
    <t>13073</t>
  </si>
  <si>
    <t>WAHLUKE</t>
  </si>
  <si>
    <t>13144</t>
  </si>
  <si>
    <t>QUINCY</t>
  </si>
  <si>
    <t>13146</t>
  </si>
  <si>
    <t>WARDEN</t>
  </si>
  <si>
    <t>13151</t>
  </si>
  <si>
    <t>COULEE-HARTLINE</t>
  </si>
  <si>
    <t>13156</t>
  </si>
  <si>
    <t>SOAP LAKE</t>
  </si>
  <si>
    <t>13160</t>
  </si>
  <si>
    <t>ROYAL</t>
  </si>
  <si>
    <t>13161</t>
  </si>
  <si>
    <t>MOSES LAKE</t>
  </si>
  <si>
    <t>13165</t>
  </si>
  <si>
    <t>EPHRATA</t>
  </si>
  <si>
    <t>13167</t>
  </si>
  <si>
    <t>WILSON CREEK</t>
  </si>
  <si>
    <t>13301</t>
  </si>
  <si>
    <t>GRAND COULEE DAM</t>
  </si>
  <si>
    <t>14005</t>
  </si>
  <si>
    <t>ABERDEEN</t>
  </si>
  <si>
    <t>14028</t>
  </si>
  <si>
    <t>HOQUIAM</t>
  </si>
  <si>
    <t>14064</t>
  </si>
  <si>
    <t>NORTH BEACH</t>
  </si>
  <si>
    <t>14065</t>
  </si>
  <si>
    <t>MC CLEARY</t>
  </si>
  <si>
    <t>14066</t>
  </si>
  <si>
    <t>MONTESANO</t>
  </si>
  <si>
    <t>14068</t>
  </si>
  <si>
    <t>ELMA</t>
  </si>
  <si>
    <t>14077</t>
  </si>
  <si>
    <t>TAHOLAH</t>
  </si>
  <si>
    <t>14097</t>
  </si>
  <si>
    <t>14099</t>
  </si>
  <si>
    <t>COSMOPOLIS</t>
  </si>
  <si>
    <t>14104</t>
  </si>
  <si>
    <t>SATSOP</t>
  </si>
  <si>
    <t>14117</t>
  </si>
  <si>
    <t>WISHKAH VALLEY</t>
  </si>
  <si>
    <t>14172</t>
  </si>
  <si>
    <t>OCOSTA</t>
  </si>
  <si>
    <t>14400</t>
  </si>
  <si>
    <t>OAKVILLE</t>
  </si>
  <si>
    <t>15201</t>
  </si>
  <si>
    <t>OAK HARBOR</t>
  </si>
  <si>
    <t>15204</t>
  </si>
  <si>
    <t>COUPEVILLE</t>
  </si>
  <si>
    <t>15206</t>
  </si>
  <si>
    <t>SOUTH WHIDBEY</t>
  </si>
  <si>
    <t>16020</t>
  </si>
  <si>
    <t>QUEETS-CLEARWATER</t>
  </si>
  <si>
    <t>16046</t>
  </si>
  <si>
    <t>BRINNON</t>
  </si>
  <si>
    <t>16048</t>
  </si>
  <si>
    <t>QUILCENE</t>
  </si>
  <si>
    <t>16049</t>
  </si>
  <si>
    <t>CHIMACUM</t>
  </si>
  <si>
    <t>16050</t>
  </si>
  <si>
    <t>PORT TOWNSEND</t>
  </si>
  <si>
    <t>17001</t>
  </si>
  <si>
    <t>SEATTLE</t>
  </si>
  <si>
    <t>17210</t>
  </si>
  <si>
    <t>FEDERAL WAY</t>
  </si>
  <si>
    <t>17216</t>
  </si>
  <si>
    <t>ENUMCLAW</t>
  </si>
  <si>
    <t>17400</t>
  </si>
  <si>
    <t>MERCER ISLAND</t>
  </si>
  <si>
    <t>17401</t>
  </si>
  <si>
    <t>HIGHLINE</t>
  </si>
  <si>
    <t>17402</t>
  </si>
  <si>
    <t>VASHON ISLAND</t>
  </si>
  <si>
    <t>17403</t>
  </si>
  <si>
    <t>RENTON</t>
  </si>
  <si>
    <t>17404</t>
  </si>
  <si>
    <t>SKYKOMISH</t>
  </si>
  <si>
    <t>17405</t>
  </si>
  <si>
    <t>BELLEVUE</t>
  </si>
  <si>
    <t>17406</t>
  </si>
  <si>
    <t xml:space="preserve">TUKWILA </t>
  </si>
  <si>
    <t>17407</t>
  </si>
  <si>
    <t>RIVERVIEW</t>
  </si>
  <si>
    <t>AUBURN</t>
  </si>
  <si>
    <t>17409</t>
  </si>
  <si>
    <t>TAHOMA</t>
  </si>
  <si>
    <t>17410</t>
  </si>
  <si>
    <t>17411</t>
  </si>
  <si>
    <t>ISSAQUAH</t>
  </si>
  <si>
    <t>17412</t>
  </si>
  <si>
    <t>SHORELINE</t>
  </si>
  <si>
    <t>17414</t>
  </si>
  <si>
    <t>LAKE WASHINGTON</t>
  </si>
  <si>
    <t>17415</t>
  </si>
  <si>
    <t>KENT</t>
  </si>
  <si>
    <t>17417</t>
  </si>
  <si>
    <t>NORTHSHORE</t>
  </si>
  <si>
    <t>18100</t>
  </si>
  <si>
    <t>BREMERTON</t>
  </si>
  <si>
    <t>18303</t>
  </si>
  <si>
    <t>BAINBRIDGE</t>
  </si>
  <si>
    <t>18400</t>
  </si>
  <si>
    <t>NORTH KITSAP</t>
  </si>
  <si>
    <t>18401</t>
  </si>
  <si>
    <t>CENTRAL KITSAP</t>
  </si>
  <si>
    <t>18402</t>
  </si>
  <si>
    <t>SOUTH KITSAP</t>
  </si>
  <si>
    <t>19007</t>
  </si>
  <si>
    <t>DAMMAN</t>
  </si>
  <si>
    <t>19028</t>
  </si>
  <si>
    <t>EASTON</t>
  </si>
  <si>
    <t>19400</t>
  </si>
  <si>
    <t>THORP</t>
  </si>
  <si>
    <t>19401</t>
  </si>
  <si>
    <t>ELLENSBURG</t>
  </si>
  <si>
    <t>19403</t>
  </si>
  <si>
    <t>KITTITAS</t>
  </si>
  <si>
    <t>19404</t>
  </si>
  <si>
    <t>CLE ELUM-ROSLYN</t>
  </si>
  <si>
    <t>20094</t>
  </si>
  <si>
    <t>WISHRAM</t>
  </si>
  <si>
    <t>20203</t>
  </si>
  <si>
    <t>BICKLETON</t>
  </si>
  <si>
    <t>20215</t>
  </si>
  <si>
    <t>CENTERVILLE</t>
  </si>
  <si>
    <t>20400</t>
  </si>
  <si>
    <t>TROUT LAKE</t>
  </si>
  <si>
    <t>20401</t>
  </si>
  <si>
    <t>GLENWOOD</t>
  </si>
  <si>
    <t>20402</t>
  </si>
  <si>
    <t>KLICKITAT</t>
  </si>
  <si>
    <t>20403</t>
  </si>
  <si>
    <t>ROOSEVELT</t>
  </si>
  <si>
    <t>20404</t>
  </si>
  <si>
    <t>GOLDENDALE</t>
  </si>
  <si>
    <t>20405</t>
  </si>
  <si>
    <t>WHITE SALMON</t>
  </si>
  <si>
    <t>20406</t>
  </si>
  <si>
    <t>LYLE</t>
  </si>
  <si>
    <t>21014</t>
  </si>
  <si>
    <t>NAPAVINE</t>
  </si>
  <si>
    <t>21036</t>
  </si>
  <si>
    <t>EVALINE</t>
  </si>
  <si>
    <t>21206</t>
  </si>
  <si>
    <t>MOSSYROCK</t>
  </si>
  <si>
    <t>21214</t>
  </si>
  <si>
    <t>MORTON</t>
  </si>
  <si>
    <t>21226</t>
  </si>
  <si>
    <t>ADNA</t>
  </si>
  <si>
    <t>21232</t>
  </si>
  <si>
    <t>WINLOCK</t>
  </si>
  <si>
    <t>21234</t>
  </si>
  <si>
    <t>BOISTFORT</t>
  </si>
  <si>
    <t>21237</t>
  </si>
  <si>
    <t>TOLEDO</t>
  </si>
  <si>
    <t>21300</t>
  </si>
  <si>
    <t>ONALASKA</t>
  </si>
  <si>
    <t>21301</t>
  </si>
  <si>
    <t>PE ELL</t>
  </si>
  <si>
    <t>21302</t>
  </si>
  <si>
    <t>CHEHALIS</t>
  </si>
  <si>
    <t>21303</t>
  </si>
  <si>
    <t>WHITE PASS</t>
  </si>
  <si>
    <t>21401</t>
  </si>
  <si>
    <t>CENTRALIA</t>
  </si>
  <si>
    <t>22008</t>
  </si>
  <si>
    <t>SPRAGUE</t>
  </si>
  <si>
    <t>22009</t>
  </si>
  <si>
    <t>REARDAN</t>
  </si>
  <si>
    <t>22017</t>
  </si>
  <si>
    <t>ALMIRA</t>
  </si>
  <si>
    <t>22073</t>
  </si>
  <si>
    <t>CRESTON</t>
  </si>
  <si>
    <t>22105</t>
  </si>
  <si>
    <t>ODESSA</t>
  </si>
  <si>
    <t>22200</t>
  </si>
  <si>
    <t>WILBUR</t>
  </si>
  <si>
    <t>22204</t>
  </si>
  <si>
    <t>HARRINGTON</t>
  </si>
  <si>
    <t>22207</t>
  </si>
  <si>
    <t>DAVENPORT</t>
  </si>
  <si>
    <t>23042</t>
  </si>
  <si>
    <t>SOUTHSIDE</t>
  </si>
  <si>
    <t>23054</t>
  </si>
  <si>
    <t>GRAPEVIEW</t>
  </si>
  <si>
    <t>23309</t>
  </si>
  <si>
    <t>SHELTON</t>
  </si>
  <si>
    <t>23311</t>
  </si>
  <si>
    <t>MARY M KNIGHT</t>
  </si>
  <si>
    <t>23402</t>
  </si>
  <si>
    <t>PIONEER</t>
  </si>
  <si>
    <t>23403</t>
  </si>
  <si>
    <t>NORTH MASON</t>
  </si>
  <si>
    <t>23404</t>
  </si>
  <si>
    <t>HOOD CANAL</t>
  </si>
  <si>
    <t>24014</t>
  </si>
  <si>
    <t>NESPELEM</t>
  </si>
  <si>
    <t>24019</t>
  </si>
  <si>
    <t>OMAK</t>
  </si>
  <si>
    <t>24105</t>
  </si>
  <si>
    <t>OKANOGAN</t>
  </si>
  <si>
    <t>24111</t>
  </si>
  <si>
    <t>BREWSTER</t>
  </si>
  <si>
    <t>24122</t>
  </si>
  <si>
    <t>PATEROS</t>
  </si>
  <si>
    <t>24350</t>
  </si>
  <si>
    <t>METHOW VALLEY</t>
  </si>
  <si>
    <t>24404</t>
  </si>
  <si>
    <t>TONASKET</t>
  </si>
  <si>
    <t>24410</t>
  </si>
  <si>
    <t>OROVILLE</t>
  </si>
  <si>
    <t>25101</t>
  </si>
  <si>
    <t>OCEAN BEACH</t>
  </si>
  <si>
    <t>25116</t>
  </si>
  <si>
    <t>RAYMOND</t>
  </si>
  <si>
    <t>25118</t>
  </si>
  <si>
    <t>SOUTH BEND</t>
  </si>
  <si>
    <t>25155</t>
  </si>
  <si>
    <t>25160</t>
  </si>
  <si>
    <t>WILLAPA VALLEY</t>
  </si>
  <si>
    <t>25200</t>
  </si>
  <si>
    <t>NORTH RIVER</t>
  </si>
  <si>
    <t>26056</t>
  </si>
  <si>
    <t>NEWPORT</t>
  </si>
  <si>
    <t>26059</t>
  </si>
  <si>
    <t>CUSICK</t>
  </si>
  <si>
    <t>26070</t>
  </si>
  <si>
    <t>SELKIRK</t>
  </si>
  <si>
    <t>27001</t>
  </si>
  <si>
    <t>STEILACOOM HIST.</t>
  </si>
  <si>
    <t>27003</t>
  </si>
  <si>
    <t>PUYALLUP</t>
  </si>
  <si>
    <t>27010</t>
  </si>
  <si>
    <t>TACOMA</t>
  </si>
  <si>
    <t>27019</t>
  </si>
  <si>
    <t>CARBONADO</t>
  </si>
  <si>
    <t>27083</t>
  </si>
  <si>
    <t>UNIVERSITY PLACE</t>
  </si>
  <si>
    <t>27320</t>
  </si>
  <si>
    <t>SUMNER</t>
  </si>
  <si>
    <t>27343</t>
  </si>
  <si>
    <t>DIERINGER</t>
  </si>
  <si>
    <t>27344</t>
  </si>
  <si>
    <t>ORTING</t>
  </si>
  <si>
    <t>27400</t>
  </si>
  <si>
    <t>CLOVER PARK</t>
  </si>
  <si>
    <t>27401</t>
  </si>
  <si>
    <t>PENINSULA</t>
  </si>
  <si>
    <t>27402</t>
  </si>
  <si>
    <t>FRANKLIN PIERCE</t>
  </si>
  <si>
    <t>27403</t>
  </si>
  <si>
    <t>BETHEL</t>
  </si>
  <si>
    <t>27404</t>
  </si>
  <si>
    <t>EATONVILLE</t>
  </si>
  <si>
    <t>27416</t>
  </si>
  <si>
    <t>WHITE RIVER</t>
  </si>
  <si>
    <t>27417</t>
  </si>
  <si>
    <t>FIFE</t>
  </si>
  <si>
    <t>28010</t>
  </si>
  <si>
    <t>SHAW</t>
  </si>
  <si>
    <t>28137</t>
  </si>
  <si>
    <t>ORCAS</t>
  </si>
  <si>
    <t>28144</t>
  </si>
  <si>
    <t>LOPEZ</t>
  </si>
  <si>
    <t>28149</t>
  </si>
  <si>
    <t>SAN JUAN</t>
  </si>
  <si>
    <t>29011</t>
  </si>
  <si>
    <t>CONCRETE</t>
  </si>
  <si>
    <t>29100</t>
  </si>
  <si>
    <t>29101</t>
  </si>
  <si>
    <t>SEDRO WOOLLEY</t>
  </si>
  <si>
    <t>29103</t>
  </si>
  <si>
    <t>ANACORTES</t>
  </si>
  <si>
    <t>29311</t>
  </si>
  <si>
    <t>LA CONNER</t>
  </si>
  <si>
    <t>29317</t>
  </si>
  <si>
    <t>CONWAY</t>
  </si>
  <si>
    <t>29320</t>
  </si>
  <si>
    <t>MT VERNON</t>
  </si>
  <si>
    <t>30002</t>
  </si>
  <si>
    <t>SKAMANIA</t>
  </si>
  <si>
    <t>30029</t>
  </si>
  <si>
    <t>MOUNT PLEASANT</t>
  </si>
  <si>
    <t>30031</t>
  </si>
  <si>
    <t>MILL A</t>
  </si>
  <si>
    <t>30303</t>
  </si>
  <si>
    <t>STEVENSON-CARSON</t>
  </si>
  <si>
    <t>31002</t>
  </si>
  <si>
    <t>EVERETT</t>
  </si>
  <si>
    <t>31004</t>
  </si>
  <si>
    <t>LAKE STEVENS</t>
  </si>
  <si>
    <t>31006</t>
  </si>
  <si>
    <t>MUKILTEO</t>
  </si>
  <si>
    <t>31015</t>
  </si>
  <si>
    <t>EDMONDS</t>
  </si>
  <si>
    <t>31016</t>
  </si>
  <si>
    <t>ARLINGTON</t>
  </si>
  <si>
    <t>31025</t>
  </si>
  <si>
    <t>MARYSVILLE</t>
  </si>
  <si>
    <t>31063</t>
  </si>
  <si>
    <t>INDEX</t>
  </si>
  <si>
    <t>31103</t>
  </si>
  <si>
    <t>MONROE</t>
  </si>
  <si>
    <t>31201</t>
  </si>
  <si>
    <t>SNOHOMISH</t>
  </si>
  <si>
    <t>31306</t>
  </si>
  <si>
    <t>LAKEWOOD</t>
  </si>
  <si>
    <t>31311</t>
  </si>
  <si>
    <t>SULTAN</t>
  </si>
  <si>
    <t>31330</t>
  </si>
  <si>
    <t>DARRINGTON</t>
  </si>
  <si>
    <t>31332</t>
  </si>
  <si>
    <t>GRANITE FALLS</t>
  </si>
  <si>
    <t>31401</t>
  </si>
  <si>
    <t>STANWOOD</t>
  </si>
  <si>
    <t>32081</t>
  </si>
  <si>
    <t>SPOKANE</t>
  </si>
  <si>
    <t>32123</t>
  </si>
  <si>
    <t>ORCHARD PRAIRIE</t>
  </si>
  <si>
    <t>32312</t>
  </si>
  <si>
    <t>GREAT NORTHERN</t>
  </si>
  <si>
    <t>32325</t>
  </si>
  <si>
    <t>NINE MILE FALLS</t>
  </si>
  <si>
    <t>32326</t>
  </si>
  <si>
    <t>MEDICAL LAKE</t>
  </si>
  <si>
    <t>32354</t>
  </si>
  <si>
    <t>MEAD</t>
  </si>
  <si>
    <t>32356</t>
  </si>
  <si>
    <t>CENTRAL VALLEY</t>
  </si>
  <si>
    <t>32358</t>
  </si>
  <si>
    <t>FREEMAN</t>
  </si>
  <si>
    <t>32360</t>
  </si>
  <si>
    <t>CHENEY</t>
  </si>
  <si>
    <t>32361</t>
  </si>
  <si>
    <t>32362</t>
  </si>
  <si>
    <t>LIBERTY</t>
  </si>
  <si>
    <t>32363</t>
  </si>
  <si>
    <t>32414</t>
  </si>
  <si>
    <t>DEER PARK</t>
  </si>
  <si>
    <t>32416</t>
  </si>
  <si>
    <t>RIVERSIDE</t>
  </si>
  <si>
    <t>33030</t>
  </si>
  <si>
    <t>ONION CREEK</t>
  </si>
  <si>
    <t>33036</t>
  </si>
  <si>
    <t>CHEWELAH</t>
  </si>
  <si>
    <t>33049</t>
  </si>
  <si>
    <t>WELLPINIT</t>
  </si>
  <si>
    <t>33070</t>
  </si>
  <si>
    <t>VALLEY</t>
  </si>
  <si>
    <t>33115</t>
  </si>
  <si>
    <t>COLVILLE</t>
  </si>
  <si>
    <t>33183</t>
  </si>
  <si>
    <t>LOON LAKE</t>
  </si>
  <si>
    <t>33202</t>
  </si>
  <si>
    <t>SUMMIT VALLEY</t>
  </si>
  <si>
    <t>33205</t>
  </si>
  <si>
    <t>33206</t>
  </si>
  <si>
    <t>33207</t>
  </si>
  <si>
    <t>MARY WALKER</t>
  </si>
  <si>
    <t>33211</t>
  </si>
  <si>
    <t>NORTHPORT</t>
  </si>
  <si>
    <t>33212</t>
  </si>
  <si>
    <t>KETTLE FALLS</t>
  </si>
  <si>
    <t>34002</t>
  </si>
  <si>
    <t>YELM</t>
  </si>
  <si>
    <t>34003</t>
  </si>
  <si>
    <t>NORTH THURSTON</t>
  </si>
  <si>
    <t>34033</t>
  </si>
  <si>
    <t>TUMWATER</t>
  </si>
  <si>
    <t>34111</t>
  </si>
  <si>
    <t>OLYMPIA</t>
  </si>
  <si>
    <t>34307</t>
  </si>
  <si>
    <t>RAINIER</t>
  </si>
  <si>
    <t>34324</t>
  </si>
  <si>
    <t>GRIFFIN</t>
  </si>
  <si>
    <t>34401</t>
  </si>
  <si>
    <t>ROCHESTER</t>
  </si>
  <si>
    <t>34402</t>
  </si>
  <si>
    <t>TENINO</t>
  </si>
  <si>
    <t>35200</t>
  </si>
  <si>
    <t>WAHKIAKUM</t>
  </si>
  <si>
    <t>36101</t>
  </si>
  <si>
    <t>DIXIE</t>
  </si>
  <si>
    <t>36140</t>
  </si>
  <si>
    <t>WALLA WALLA</t>
  </si>
  <si>
    <t>36250</t>
  </si>
  <si>
    <t>COLLEGE PLACE</t>
  </si>
  <si>
    <t>36300</t>
  </si>
  <si>
    <t>TOUCHET</t>
  </si>
  <si>
    <t>36400</t>
  </si>
  <si>
    <t>36401</t>
  </si>
  <si>
    <t>WAITSBURG</t>
  </si>
  <si>
    <t>36402</t>
  </si>
  <si>
    <t>PRESCOTT</t>
  </si>
  <si>
    <t>37501</t>
  </si>
  <si>
    <t>BELLINGHAM</t>
  </si>
  <si>
    <t>37502</t>
  </si>
  <si>
    <t>FERNDALE</t>
  </si>
  <si>
    <t>37503</t>
  </si>
  <si>
    <t>BLAINE</t>
  </si>
  <si>
    <t>37504</t>
  </si>
  <si>
    <t>LYNDEN</t>
  </si>
  <si>
    <t>37505</t>
  </si>
  <si>
    <t>MERIDIAN</t>
  </si>
  <si>
    <t>37506</t>
  </si>
  <si>
    <t>NOOKSACK VALLEY</t>
  </si>
  <si>
    <t>37507</t>
  </si>
  <si>
    <t>MOUNT BAKER</t>
  </si>
  <si>
    <t>38126</t>
  </si>
  <si>
    <t>LACROSSE JOINT</t>
  </si>
  <si>
    <t>38264</t>
  </si>
  <si>
    <t>LAMONT</t>
  </si>
  <si>
    <t>38265</t>
  </si>
  <si>
    <t>TEKOA</t>
  </si>
  <si>
    <t>38267</t>
  </si>
  <si>
    <t>PULLMAN</t>
  </si>
  <si>
    <t>38300</t>
  </si>
  <si>
    <t>COLFAX</t>
  </si>
  <si>
    <t>38301</t>
  </si>
  <si>
    <t>PALOUSE</t>
  </si>
  <si>
    <t>38302</t>
  </si>
  <si>
    <t>GARFIELD</t>
  </si>
  <si>
    <t>38304</t>
  </si>
  <si>
    <t>STEPTOE</t>
  </si>
  <si>
    <t>38306</t>
  </si>
  <si>
    <t>COLTON</t>
  </si>
  <si>
    <t>38308</t>
  </si>
  <si>
    <t>ENDICOTT</t>
  </si>
  <si>
    <t>38320</t>
  </si>
  <si>
    <t>ROSALIA</t>
  </si>
  <si>
    <t>38322</t>
  </si>
  <si>
    <t>ST JOHN</t>
  </si>
  <si>
    <t>38324</t>
  </si>
  <si>
    <t>OAKESDALE</t>
  </si>
  <si>
    <t>39002</t>
  </si>
  <si>
    <t>UNION GAP</t>
  </si>
  <si>
    <t>39003</t>
  </si>
  <si>
    <t>NACHES VALLEY</t>
  </si>
  <si>
    <t>39007</t>
  </si>
  <si>
    <t>YAKIMA</t>
  </si>
  <si>
    <t>39090</t>
  </si>
  <si>
    <t>39119</t>
  </si>
  <si>
    <t>SELAH</t>
  </si>
  <si>
    <t>39120</t>
  </si>
  <si>
    <t>MABTON</t>
  </si>
  <si>
    <t>39200</t>
  </si>
  <si>
    <t>GRANDVIEW</t>
  </si>
  <si>
    <t>39201</t>
  </si>
  <si>
    <t>SUNNYSIDE</t>
  </si>
  <si>
    <t>39202</t>
  </si>
  <si>
    <t>TOPPENISH</t>
  </si>
  <si>
    <t>39203</t>
  </si>
  <si>
    <t>HIGHLAND</t>
  </si>
  <si>
    <t>39204</t>
  </si>
  <si>
    <t>GRANGER</t>
  </si>
  <si>
    <t>39205</t>
  </si>
  <si>
    <t>ZILLAH</t>
  </si>
  <si>
    <t>39207</t>
  </si>
  <si>
    <t>WAPATO</t>
  </si>
  <si>
    <t>39208</t>
  </si>
  <si>
    <t>39209</t>
  </si>
  <si>
    <t>MOUNT ADAMS</t>
  </si>
  <si>
    <t>Class</t>
  </si>
  <si>
    <t>Basis</t>
  </si>
  <si>
    <t>Nonhigh</t>
  </si>
  <si>
    <t>CARRYOVER</t>
  </si>
  <si>
    <t>ACCT. 4159</t>
  </si>
  <si>
    <t>4121</t>
  </si>
  <si>
    <t>4155</t>
  </si>
  <si>
    <t>4165</t>
  </si>
  <si>
    <t>4174</t>
  </si>
  <si>
    <t>4199</t>
  </si>
  <si>
    <t>INST. 59</t>
  </si>
  <si>
    <t>STATE</t>
  </si>
  <si>
    <t>INST INDIRECT</t>
  </si>
  <si>
    <t>INST. 26</t>
  </si>
  <si>
    <t>FIRE DIST</t>
  </si>
  <si>
    <t>EXPEND</t>
  </si>
  <si>
    <t>PAY</t>
  </si>
  <si>
    <t>FTE</t>
  </si>
  <si>
    <t>ENHANCE</t>
  </si>
  <si>
    <t>ccddd</t>
  </si>
  <si>
    <t>Select District =&gt;</t>
  </si>
  <si>
    <t>04801</t>
  </si>
  <si>
    <t>06801</t>
  </si>
  <si>
    <t>11801</t>
  </si>
  <si>
    <t>17801</t>
  </si>
  <si>
    <t>18801</t>
  </si>
  <si>
    <t>29801</t>
  </si>
  <si>
    <t>32801</t>
  </si>
  <si>
    <t>34801</t>
  </si>
  <si>
    <t>39801</t>
  </si>
  <si>
    <t>Policy based on set amount</t>
  </si>
  <si>
    <t>Cash</t>
  </si>
  <si>
    <t>No</t>
  </si>
  <si>
    <t>Yes</t>
  </si>
  <si>
    <t>Accrual</t>
  </si>
  <si>
    <t>Cash Basis Districts - Recovery of Restricted Revenues</t>
  </si>
  <si>
    <t>Recovery</t>
  </si>
  <si>
    <t>Middle School Vocational Education Program 34</t>
  </si>
  <si>
    <t>State Institutions Program 59</t>
  </si>
  <si>
    <t>Highly Capable Program 74</t>
  </si>
  <si>
    <t>Current Year Allocation</t>
  </si>
  <si>
    <t>Student Transportation Program 99</t>
  </si>
  <si>
    <t>Revenue 7199</t>
  </si>
  <si>
    <t>Program 74 Recovery</t>
  </si>
  <si>
    <t>Bilingual Program 65</t>
  </si>
  <si>
    <t>Program 65 Recovery</t>
  </si>
  <si>
    <t>Program 99 Recovery</t>
  </si>
  <si>
    <t>Program 34 Carryover</t>
  </si>
  <si>
    <t>Program 59 Carryover</t>
  </si>
  <si>
    <t>Total Carryover Amounts</t>
  </si>
  <si>
    <t>Program 21 Recovery</t>
  </si>
  <si>
    <t>Program 26 Recovery</t>
  </si>
  <si>
    <t>Program 31 Recovery</t>
  </si>
  <si>
    <t>Program 34 Recovery</t>
  </si>
  <si>
    <t>Program 55 Recovery</t>
  </si>
  <si>
    <t>Program 56 Recovery</t>
  </si>
  <si>
    <t>Program 59 Recovery</t>
  </si>
  <si>
    <t>Total Recovery of Restricted Revenues (Cash Basis Only)</t>
  </si>
  <si>
    <t>GRAND TOTAL  RESTRICTED CARRYOVER/RECOVERY</t>
  </si>
  <si>
    <t>SHEET: FUND BALANCE SUMMARY</t>
  </si>
  <si>
    <t>(Briefly describe the Commitment)</t>
  </si>
  <si>
    <t>Debt Service</t>
  </si>
  <si>
    <t>EVERGREEN (CLARK)</t>
  </si>
  <si>
    <t>EAST VALLEY (SPOKANE)</t>
  </si>
  <si>
    <t>WEST VALLEY (SPOKANE)</t>
  </si>
  <si>
    <t>EVERGREEN (STEVENS)</t>
  </si>
  <si>
    <t>COLUMBIA (STEVENS)</t>
  </si>
  <si>
    <t>COLUMBIA (WALLA WALLA)</t>
  </si>
  <si>
    <t>EAST VALLEY (YAKIMA)</t>
  </si>
  <si>
    <t>WEST VALLEY (YAKIMA)</t>
  </si>
  <si>
    <t>(Click here for sample journal entries relating to recovery.)</t>
  </si>
  <si>
    <t>(Click here to go back to the GL 821 page.)</t>
  </si>
  <si>
    <t>JOURNAL ENTRIES: Recovery</t>
  </si>
  <si>
    <t>If an accrual-basis district has recovery of state revenues, they record a liability to the state.</t>
  </si>
  <si>
    <t>The offset is revenues (received but not "earned").</t>
  </si>
  <si>
    <t>XXX</t>
  </si>
  <si>
    <t>CR GL 630 Due to Other Governmental Units</t>
  </si>
  <si>
    <t>In the following year, the revenues will be reduced from the amount paid through Apportionment.</t>
  </si>
  <si>
    <t>The amount "earned" for that year is still the same, but some of it was paid in the prior year.</t>
  </si>
  <si>
    <t>DR GL 240 Cash on Deposit with County Treasurer</t>
  </si>
  <si>
    <t>XX</t>
  </si>
  <si>
    <t>DR GL 630 Due to Other Governmental Units</t>
  </si>
  <si>
    <t>CR GL 960 Revenues (w/ appropriate sub-coding)</t>
  </si>
  <si>
    <t>XXXXX</t>
  </si>
  <si>
    <t>DR GL 960 Revenues (w/ appropriate sub-coding)</t>
  </si>
  <si>
    <t>(same amount from prior year)</t>
  </si>
  <si>
    <t>GL 828 Restricted for Carryover of Food Service Revenue</t>
  </si>
  <si>
    <t>District</t>
  </si>
  <si>
    <t>TOTAL</t>
  </si>
  <si>
    <t xml:space="preserve">WASHTUCNA           </t>
  </si>
  <si>
    <t xml:space="preserve">OTHELLO             </t>
  </si>
  <si>
    <t xml:space="preserve">LIND                </t>
  </si>
  <si>
    <t xml:space="preserve">RITZVILLE           </t>
  </si>
  <si>
    <t xml:space="preserve">CLARKSTON           </t>
  </si>
  <si>
    <t xml:space="preserve">KENNEWICK           </t>
  </si>
  <si>
    <t xml:space="preserve">PATERSON            </t>
  </si>
  <si>
    <t xml:space="preserve">FINLEY              </t>
  </si>
  <si>
    <t xml:space="preserve">PROSSER             </t>
  </si>
  <si>
    <t xml:space="preserve">RICHLAND            </t>
  </si>
  <si>
    <t xml:space="preserve">MANSON              </t>
  </si>
  <si>
    <t xml:space="preserve">ENTIAT              </t>
  </si>
  <si>
    <t xml:space="preserve">LAKE CHELAN         </t>
  </si>
  <si>
    <t xml:space="preserve">CASHMERE            </t>
  </si>
  <si>
    <t xml:space="preserve">CASCADE             </t>
  </si>
  <si>
    <t xml:space="preserve">WENATCHEE           </t>
  </si>
  <si>
    <t xml:space="preserve">PORT ANGELES        </t>
  </si>
  <si>
    <t xml:space="preserve">CRESCENT            </t>
  </si>
  <si>
    <t xml:space="preserve">SEQUIM              </t>
  </si>
  <si>
    <t xml:space="preserve">CAPE FLATTERY       </t>
  </si>
  <si>
    <t xml:space="preserve">QUILLAYUTE VALLEY   </t>
  </si>
  <si>
    <t xml:space="preserve">VANCOUVER           </t>
  </si>
  <si>
    <t xml:space="preserve">HOCKINSON           </t>
  </si>
  <si>
    <t xml:space="preserve">GREEN MOUNTAIN      </t>
  </si>
  <si>
    <t xml:space="preserve">WASHOUGAL           </t>
  </si>
  <si>
    <t xml:space="preserve">CAMAS               </t>
  </si>
  <si>
    <t xml:space="preserve">BATTLE GROUND       </t>
  </si>
  <si>
    <t xml:space="preserve">RIDGEFIELD          </t>
  </si>
  <si>
    <t xml:space="preserve">DAYTON              </t>
  </si>
  <si>
    <t xml:space="preserve">LONGVIEW            </t>
  </si>
  <si>
    <t xml:space="preserve">TOUTLE LAKE         </t>
  </si>
  <si>
    <t xml:space="preserve">CASTLE ROCK         </t>
  </si>
  <si>
    <t xml:space="preserve">KALAMA              </t>
  </si>
  <si>
    <t xml:space="preserve">WOODLAND            </t>
  </si>
  <si>
    <t xml:space="preserve">KELSO               </t>
  </si>
  <si>
    <t xml:space="preserve">ORONDO              </t>
  </si>
  <si>
    <t xml:space="preserve">BRIDGEPORT          </t>
  </si>
  <si>
    <t xml:space="preserve">PALISADES           </t>
  </si>
  <si>
    <t xml:space="preserve">EASTMONT            </t>
  </si>
  <si>
    <t xml:space="preserve">MANSFIELD           </t>
  </si>
  <si>
    <t xml:space="preserve">WATERVILLE          </t>
  </si>
  <si>
    <t xml:space="preserve">KELLER              </t>
  </si>
  <si>
    <t xml:space="preserve">CURLEW              </t>
  </si>
  <si>
    <t xml:space="preserve">ORIENT              </t>
  </si>
  <si>
    <t xml:space="preserve">INCHELIUM           </t>
  </si>
  <si>
    <t xml:space="preserve">REPUBLIC            </t>
  </si>
  <si>
    <t xml:space="preserve">PASCO               </t>
  </si>
  <si>
    <t xml:space="preserve">NORTH FRANKLIN      </t>
  </si>
  <si>
    <t xml:space="preserve">KAHLOTUS            </t>
  </si>
  <si>
    <t xml:space="preserve">POMEROY             </t>
  </si>
  <si>
    <t xml:space="preserve">WAHLUKE             </t>
  </si>
  <si>
    <t xml:space="preserve">QUINCY              </t>
  </si>
  <si>
    <t xml:space="preserve">WARDEN              </t>
  </si>
  <si>
    <t xml:space="preserve">SOAP LAKE           </t>
  </si>
  <si>
    <t xml:space="preserve">ROYAL               </t>
  </si>
  <si>
    <t xml:space="preserve">MOSES LAKE          </t>
  </si>
  <si>
    <t xml:space="preserve">EPHRATA             </t>
  </si>
  <si>
    <t xml:space="preserve">WILSON CREEK        </t>
  </si>
  <si>
    <t xml:space="preserve">GRAND COULEE DAM    </t>
  </si>
  <si>
    <t xml:space="preserve">ABERDEEN            </t>
  </si>
  <si>
    <t xml:space="preserve">HOQUIAM             </t>
  </si>
  <si>
    <t xml:space="preserve">NORTH BEACH         </t>
  </si>
  <si>
    <t xml:space="preserve">MONTESANO           </t>
  </si>
  <si>
    <t xml:space="preserve">ELMA                </t>
  </si>
  <si>
    <t xml:space="preserve">TAHOLAH             </t>
  </si>
  <si>
    <t xml:space="preserve">QUINAULT            </t>
  </si>
  <si>
    <t xml:space="preserve">COSMOPOLIS          </t>
  </si>
  <si>
    <t xml:space="preserve">SATSOP              </t>
  </si>
  <si>
    <t xml:space="preserve">WISHKAH VALLEY      </t>
  </si>
  <si>
    <t xml:space="preserve">OCOSTA              </t>
  </si>
  <si>
    <t xml:space="preserve">OAKVILLE            </t>
  </si>
  <si>
    <t xml:space="preserve">OAK HARBOR          </t>
  </si>
  <si>
    <t xml:space="preserve">COUPEVILLE          </t>
  </si>
  <si>
    <t xml:space="preserve">SOUTH WHIDBEY       </t>
  </si>
  <si>
    <t xml:space="preserve">BRINNON             </t>
  </si>
  <si>
    <t xml:space="preserve">QUILCENE            </t>
  </si>
  <si>
    <t xml:space="preserve">CHIMACUM            </t>
  </si>
  <si>
    <t xml:space="preserve">PORT TOWNSEND       </t>
  </si>
  <si>
    <t xml:space="preserve">SEATTLE             </t>
  </si>
  <si>
    <t xml:space="preserve">FEDERAL WAY         </t>
  </si>
  <si>
    <t xml:space="preserve">ENUMCLAW            </t>
  </si>
  <si>
    <t xml:space="preserve">MERCER ISLAND       </t>
  </si>
  <si>
    <t xml:space="preserve">HIGHLINE            </t>
  </si>
  <si>
    <t xml:space="preserve">VASHON ISLAND       </t>
  </si>
  <si>
    <t xml:space="preserve">RENTON              </t>
  </si>
  <si>
    <t xml:space="preserve">SKYKOMISH           </t>
  </si>
  <si>
    <t xml:space="preserve">BELLEVUE            </t>
  </si>
  <si>
    <t xml:space="preserve">TUKWILA             </t>
  </si>
  <si>
    <t xml:space="preserve">RIVERVIEW           </t>
  </si>
  <si>
    <t xml:space="preserve">AUBURN              </t>
  </si>
  <si>
    <t xml:space="preserve">TAHOMA              </t>
  </si>
  <si>
    <t xml:space="preserve">SNOQUALMIE VALLEY   </t>
  </si>
  <si>
    <t xml:space="preserve">ISSAQUAH            </t>
  </si>
  <si>
    <t xml:space="preserve">SHORELINE           </t>
  </si>
  <si>
    <t xml:space="preserve">LAKE WASHINGTON     </t>
  </si>
  <si>
    <t xml:space="preserve">KENT                </t>
  </si>
  <si>
    <t xml:space="preserve">NORTHSHORE          </t>
  </si>
  <si>
    <t xml:space="preserve">BREMERTON           </t>
  </si>
  <si>
    <t xml:space="preserve">NORTH KITSAP        </t>
  </si>
  <si>
    <t xml:space="preserve">CENTRAL KITSAP      </t>
  </si>
  <si>
    <t xml:space="preserve">SOUTH KITSAP        </t>
  </si>
  <si>
    <t xml:space="preserve">EASTON              </t>
  </si>
  <si>
    <t xml:space="preserve">THORP               </t>
  </si>
  <si>
    <t xml:space="preserve">ELLENSBURG          </t>
  </si>
  <si>
    <t xml:space="preserve">KITTITAS            </t>
  </si>
  <si>
    <t xml:space="preserve">WISHRAM             </t>
  </si>
  <si>
    <t xml:space="preserve">CENTERVILLE         </t>
  </si>
  <si>
    <t xml:space="preserve">GLENWOOD            </t>
  </si>
  <si>
    <t xml:space="preserve">GOLDENDALE          </t>
  </si>
  <si>
    <t xml:space="preserve">WHITE SALMON        </t>
  </si>
  <si>
    <t xml:space="preserve">LYLE                </t>
  </si>
  <si>
    <t xml:space="preserve">NAPAVINE            </t>
  </si>
  <si>
    <t xml:space="preserve">MOSSYROCK           </t>
  </si>
  <si>
    <t xml:space="preserve">MORTON              </t>
  </si>
  <si>
    <t xml:space="preserve">ADNA                </t>
  </si>
  <si>
    <t xml:space="preserve">WINLOCK             </t>
  </si>
  <si>
    <t xml:space="preserve">BOISTFORT           </t>
  </si>
  <si>
    <t xml:space="preserve">TOLEDO              </t>
  </si>
  <si>
    <t xml:space="preserve">ONALASKA            </t>
  </si>
  <si>
    <t xml:space="preserve">PE ELL              </t>
  </si>
  <si>
    <t xml:space="preserve">CHEHALIS            </t>
  </si>
  <si>
    <t xml:space="preserve">WHITE PASS          </t>
  </si>
  <si>
    <t xml:space="preserve">CENTRALIA           </t>
  </si>
  <si>
    <t xml:space="preserve">SPRAGUE             </t>
  </si>
  <si>
    <t xml:space="preserve">ALMIRA              </t>
  </si>
  <si>
    <t xml:space="preserve">CRESTON             </t>
  </si>
  <si>
    <t xml:space="preserve">ODESSA              </t>
  </si>
  <si>
    <t xml:space="preserve">WILBUR              </t>
  </si>
  <si>
    <t xml:space="preserve">HARRINGTON          </t>
  </si>
  <si>
    <t xml:space="preserve">DAVENPORT           </t>
  </si>
  <si>
    <t xml:space="preserve">SOUTHSIDE           </t>
  </si>
  <si>
    <t xml:space="preserve">GRAPEVIEW           </t>
  </si>
  <si>
    <t xml:space="preserve">SHELTON             </t>
  </si>
  <si>
    <t xml:space="preserve">MARY M KNIGHT       </t>
  </si>
  <si>
    <t xml:space="preserve">PIONEER             </t>
  </si>
  <si>
    <t xml:space="preserve">NORTH MASON         </t>
  </si>
  <si>
    <t xml:space="preserve">HOOD CANAL          </t>
  </si>
  <si>
    <t xml:space="preserve">NESPELEM            </t>
  </si>
  <si>
    <t xml:space="preserve">OMAK                </t>
  </si>
  <si>
    <t xml:space="preserve">OKANOGAN            </t>
  </si>
  <si>
    <t xml:space="preserve">BREWSTER            </t>
  </si>
  <si>
    <t xml:space="preserve">PATEROS             </t>
  </si>
  <si>
    <t xml:space="preserve">METHOW VALLEY       </t>
  </si>
  <si>
    <t xml:space="preserve">TONASKET            </t>
  </si>
  <si>
    <t xml:space="preserve">OROVILLE            </t>
  </si>
  <si>
    <t xml:space="preserve">OCEAN BEACH         </t>
  </si>
  <si>
    <t xml:space="preserve">RAYMOND             </t>
  </si>
  <si>
    <t xml:space="preserve">SOUTH BEND          </t>
  </si>
  <si>
    <t>NASELLE GRAYS RIVER</t>
  </si>
  <si>
    <t xml:space="preserve">WILLAPA VALLEY      </t>
  </si>
  <si>
    <t xml:space="preserve">NORTH RIVER         </t>
  </si>
  <si>
    <t xml:space="preserve">NEWPORT             </t>
  </si>
  <si>
    <t xml:space="preserve">CUSICK              </t>
  </si>
  <si>
    <t xml:space="preserve">SELKIRK             </t>
  </si>
  <si>
    <t xml:space="preserve">STEILACOOM HIST.    </t>
  </si>
  <si>
    <t xml:space="preserve">PUYALLUP            </t>
  </si>
  <si>
    <t xml:space="preserve">TACOMA              </t>
  </si>
  <si>
    <t xml:space="preserve">CARBONADO           </t>
  </si>
  <si>
    <t xml:space="preserve">UNIVERSITY PLACE    </t>
  </si>
  <si>
    <t xml:space="preserve">SUMNER              </t>
  </si>
  <si>
    <t xml:space="preserve">DIERINGER           </t>
  </si>
  <si>
    <t xml:space="preserve">ORTING              </t>
  </si>
  <si>
    <t xml:space="preserve">CLOVER PARK         </t>
  </si>
  <si>
    <t xml:space="preserve">PENINSULA           </t>
  </si>
  <si>
    <t xml:space="preserve">FRANKLIN PIERCE     </t>
  </si>
  <si>
    <t xml:space="preserve">BETHEL              </t>
  </si>
  <si>
    <t xml:space="preserve">EATONVILLE          </t>
  </si>
  <si>
    <t xml:space="preserve">WHITE RIVER         </t>
  </si>
  <si>
    <t xml:space="preserve">FIFE                </t>
  </si>
  <si>
    <t xml:space="preserve">CONCRETE            </t>
  </si>
  <si>
    <t xml:space="preserve">SEDRO WOOLLEY       </t>
  </si>
  <si>
    <t xml:space="preserve">ANACORTES           </t>
  </si>
  <si>
    <t xml:space="preserve">LA CONNER           </t>
  </si>
  <si>
    <t xml:space="preserve">CONWAY              </t>
  </si>
  <si>
    <t xml:space="preserve">SKAMANIA            </t>
  </si>
  <si>
    <t xml:space="preserve">MILL A              </t>
  </si>
  <si>
    <t xml:space="preserve">EVERETT             </t>
  </si>
  <si>
    <t xml:space="preserve">LAKE STEVENS        </t>
  </si>
  <si>
    <t xml:space="preserve">MUKILTEO            </t>
  </si>
  <si>
    <t xml:space="preserve">EDMONDS             </t>
  </si>
  <si>
    <t xml:space="preserve">ARLINGTON           </t>
  </si>
  <si>
    <t xml:space="preserve">MARYSVILLE          </t>
  </si>
  <si>
    <t xml:space="preserve">INDEX               </t>
  </si>
  <si>
    <t xml:space="preserve">MONROE              </t>
  </si>
  <si>
    <t xml:space="preserve">SNOHOMISH           </t>
  </si>
  <si>
    <t xml:space="preserve">LAKEWOOD            </t>
  </si>
  <si>
    <t xml:space="preserve">SULTAN              </t>
  </si>
  <si>
    <t xml:space="preserve">DARRINGTON          </t>
  </si>
  <si>
    <t xml:space="preserve">GRANITE FALLS       </t>
  </si>
  <si>
    <t xml:space="preserve">SPOKANE             </t>
  </si>
  <si>
    <t xml:space="preserve">NINE MILE FALLS     </t>
  </si>
  <si>
    <t xml:space="preserve">MEDICAL LAKE        </t>
  </si>
  <si>
    <t xml:space="preserve">MEAD                </t>
  </si>
  <si>
    <t xml:space="preserve">CENTRAL VALLEY      </t>
  </si>
  <si>
    <t xml:space="preserve">FREEMAN             </t>
  </si>
  <si>
    <t xml:space="preserve">CHENEY              </t>
  </si>
  <si>
    <t xml:space="preserve">LIBERTY             </t>
  </si>
  <si>
    <t xml:space="preserve">DEER PARK           </t>
  </si>
  <si>
    <t xml:space="preserve">RIVERSIDE           </t>
  </si>
  <si>
    <t xml:space="preserve">ONION CREEK         </t>
  </si>
  <si>
    <t xml:space="preserve">CHEWELAH            </t>
  </si>
  <si>
    <t xml:space="preserve">WELLPINIT           </t>
  </si>
  <si>
    <t xml:space="preserve">VALLEY              </t>
  </si>
  <si>
    <t xml:space="preserve">COLVILLE            </t>
  </si>
  <si>
    <t xml:space="preserve">LOON LAKE           </t>
  </si>
  <si>
    <t xml:space="preserve">SUMMIT VALLEY       </t>
  </si>
  <si>
    <t xml:space="preserve">MARY WALKER         </t>
  </si>
  <si>
    <t xml:space="preserve">NORTHPORT           </t>
  </si>
  <si>
    <t xml:space="preserve">KETTLE FALLS        </t>
  </si>
  <si>
    <t xml:space="preserve">YELM                </t>
  </si>
  <si>
    <t xml:space="preserve">NORTH THURSTON      </t>
  </si>
  <si>
    <t xml:space="preserve">TUMWATER            </t>
  </si>
  <si>
    <t xml:space="preserve">OLYMPIA             </t>
  </si>
  <si>
    <t xml:space="preserve">RAINIER             </t>
  </si>
  <si>
    <t xml:space="preserve">GRIFFIN             </t>
  </si>
  <si>
    <t xml:space="preserve">ROCHESTER           </t>
  </si>
  <si>
    <t xml:space="preserve">TENINO              </t>
  </si>
  <si>
    <t xml:space="preserve">WAHKIAKUM           </t>
  </si>
  <si>
    <t xml:space="preserve">DIXIE               </t>
  </si>
  <si>
    <t xml:space="preserve">WALLA WALLA         </t>
  </si>
  <si>
    <t xml:space="preserve">COLLEGE PLACE       </t>
  </si>
  <si>
    <t xml:space="preserve">TOUCHET             </t>
  </si>
  <si>
    <t xml:space="preserve">WAITSBURG           </t>
  </si>
  <si>
    <t xml:space="preserve">PRESCOTT            </t>
  </si>
  <si>
    <t xml:space="preserve">BELLINGHAM          </t>
  </si>
  <si>
    <t xml:space="preserve">FERNDALE            </t>
  </si>
  <si>
    <t xml:space="preserve">BLAINE              </t>
  </si>
  <si>
    <t xml:space="preserve">LYNDEN              </t>
  </si>
  <si>
    <t xml:space="preserve">MERIDIAN            </t>
  </si>
  <si>
    <t xml:space="preserve">NOOKSACK VALLEY     </t>
  </si>
  <si>
    <t xml:space="preserve">MOUNT BAKER         </t>
  </si>
  <si>
    <t xml:space="preserve">LAMONT              </t>
  </si>
  <si>
    <t xml:space="preserve">TEKOA               </t>
  </si>
  <si>
    <t xml:space="preserve">PULLMAN             </t>
  </si>
  <si>
    <t xml:space="preserve">COLFAX              </t>
  </si>
  <si>
    <t xml:space="preserve">GARFIELD            </t>
  </si>
  <si>
    <t xml:space="preserve">COLTON              </t>
  </si>
  <si>
    <t xml:space="preserve">ENDICOTT            </t>
  </si>
  <si>
    <t xml:space="preserve">ROSALIA             </t>
  </si>
  <si>
    <t xml:space="preserve">ST JOHN             </t>
  </si>
  <si>
    <t xml:space="preserve">UNION GAP           </t>
  </si>
  <si>
    <t xml:space="preserve">NACHES VALLEY       </t>
  </si>
  <si>
    <t xml:space="preserve">YAKIMA              </t>
  </si>
  <si>
    <t xml:space="preserve">SELAH               </t>
  </si>
  <si>
    <t xml:space="preserve">MABTON              </t>
  </si>
  <si>
    <t xml:space="preserve">GRANDVIEW           </t>
  </si>
  <si>
    <t xml:space="preserve">SUNNYSIDE           </t>
  </si>
  <si>
    <t xml:space="preserve">TOPPENISH           </t>
  </si>
  <si>
    <t xml:space="preserve">HIGHLAND            </t>
  </si>
  <si>
    <t xml:space="preserve">GRANGER             </t>
  </si>
  <si>
    <t xml:space="preserve">ZILLAH              </t>
  </si>
  <si>
    <t xml:space="preserve">WAPATO              </t>
  </si>
  <si>
    <t xml:space="preserve">MOUNT ADAMS         </t>
  </si>
  <si>
    <t>Revenues</t>
  </si>
  <si>
    <t>TOTAL REVENUES</t>
  </si>
  <si>
    <t>Object 1 Allocation</t>
  </si>
  <si>
    <t>Net Expenditures</t>
  </si>
  <si>
    <t>*</t>
  </si>
  <si>
    <t>Food - Purchased Services</t>
  </si>
  <si>
    <t>Capital Outlay</t>
  </si>
  <si>
    <t>Total Direct Expenditures</t>
  </si>
  <si>
    <t>Unrestricted Indirect Rate</t>
  </si>
  <si>
    <t>TOTAL EXPENDITURES</t>
  </si>
  <si>
    <t>Excess (Deficiency) of Revenues Over Expenditures</t>
  </si>
  <si>
    <t>3 Months' Average Expenditures</t>
  </si>
  <si>
    <t>*This item is included in the indirect cost calculation.</t>
  </si>
  <si>
    <t>GL 825 Restricted for Skills Centers</t>
  </si>
  <si>
    <t>State Payment (Revenue 4X98)</t>
  </si>
  <si>
    <t>Federal Commodities (Revenue 6998)</t>
  </si>
  <si>
    <t>Other Payments (any other Revenue XX98)</t>
  </si>
  <si>
    <t>General Fund, Capital Projects Fund</t>
  </si>
  <si>
    <t>Skills Center - Payment from Other Districts (Revenue 7145)</t>
  </si>
  <si>
    <t>State Skills Center Funding (Blended in Revenue 3100)</t>
  </si>
  <si>
    <t>Skills Center - Tuition &amp; Fees (Revenue 2145)</t>
  </si>
  <si>
    <t>Skills Center - Sales of Goods, Supplies and Services (Revenue 2245)</t>
  </si>
  <si>
    <t>Other Skills Center Revenues</t>
  </si>
  <si>
    <t>Total Revenues</t>
  </si>
  <si>
    <t>Supervision (Activity 21)</t>
  </si>
  <si>
    <t>Learning Resources (Activity 22)</t>
  </si>
  <si>
    <t>Principal's Office (Activity 23)</t>
  </si>
  <si>
    <t>Guidance and Counseling (Activity 24)</t>
  </si>
  <si>
    <t>Health/Related Services (Activity 26)</t>
  </si>
  <si>
    <t>Teaching (Activity 27)</t>
  </si>
  <si>
    <t>Extracurricular (Activity 28)</t>
  </si>
  <si>
    <t>Payments to School Districts (Activity 29)</t>
  </si>
  <si>
    <t>Instructional Professional Development (Activity 31)</t>
  </si>
  <si>
    <t>Instructional Technology (Activity 32)</t>
  </si>
  <si>
    <t>Supervision (Activity 61)</t>
  </si>
  <si>
    <t>Grounds Maintenance (Activity 62)</t>
  </si>
  <si>
    <t>Operation of Buildings (Activity 63)</t>
  </si>
  <si>
    <t>Maintenance (Activity 64)</t>
  </si>
  <si>
    <t>Utilities (Activity 65)</t>
  </si>
  <si>
    <t>Building and Property Security (Activity 67)</t>
  </si>
  <si>
    <t>Insurance (Activity 68)</t>
  </si>
  <si>
    <t>Total Expenditures</t>
  </si>
  <si>
    <t>Skills Center - Federal through OSPI (Revenue 6146)</t>
  </si>
  <si>
    <t>Skills Center - Federal directly from Federal agency (Revenue 6246)</t>
  </si>
  <si>
    <t>Skills Center - Federal through state agency other than OSPI (Revenue 6346)</t>
  </si>
  <si>
    <t>Add: Payments from Member Districts</t>
  </si>
  <si>
    <t>Subtract: Amounts spent for Capital Improvements</t>
  </si>
  <si>
    <t>(Print a copy of this sheet, sign it, date it, and keep a copy on file for review by Child Nutrition Services and/or the auditors.)</t>
  </si>
  <si>
    <t>Salaries &amp; Benefits*</t>
  </si>
  <si>
    <t>Supplies (Do Not Include Food)*</t>
  </si>
  <si>
    <t>Purchased Services (Do Not Include Food)*</t>
  </si>
  <si>
    <t>Travel &amp; Other*</t>
  </si>
  <si>
    <t>Succeeding Year Allocation Limitation Based on Expenditures</t>
  </si>
  <si>
    <t>General Fund, ASB Fund, Capital Projects Fund, Transportation Vehicle Fund</t>
  </si>
  <si>
    <t>SNOQUALMIE VALLEY</t>
  </si>
  <si>
    <t>BURLINGTON EDISON</t>
  </si>
  <si>
    <t>Allowable Carryover</t>
  </si>
  <si>
    <t>GL 828 Carryover of Food Service Revenue</t>
  </si>
  <si>
    <t>Fire District Payment (Report 1191 line VI.10.)</t>
  </si>
  <si>
    <t>Fire District Payments</t>
  </si>
  <si>
    <t>July Payment (Report 1191 Line VI.10)</t>
  </si>
  <si>
    <t>District Expenditures</t>
  </si>
  <si>
    <t>GL 819 Restricted to Fund Purposes</t>
  </si>
  <si>
    <t>087A</t>
  </si>
  <si>
    <t>O7</t>
  </si>
  <si>
    <t>137A</t>
  </si>
  <si>
    <t>Z095</t>
  </si>
  <si>
    <t>076A</t>
  </si>
  <si>
    <t>136A</t>
  </si>
  <si>
    <t>Z266</t>
  </si>
  <si>
    <t>Z456</t>
  </si>
  <si>
    <t>040A</t>
  </si>
  <si>
    <t>200A</t>
  </si>
  <si>
    <t>116A</t>
  </si>
  <si>
    <t>E55</t>
  </si>
  <si>
    <t>198A</t>
  </si>
  <si>
    <t>E54</t>
  </si>
  <si>
    <t>A24</t>
  </si>
  <si>
    <t>A27</t>
  </si>
  <si>
    <t>RATE</t>
  </si>
  <si>
    <t>GL 862 Committed from Levy Proceeds</t>
  </si>
  <si>
    <t>Prog 21 Calc</t>
  </si>
  <si>
    <t>TBIP Total Alloc</t>
  </si>
  <si>
    <t>HiCap Total</t>
  </si>
  <si>
    <t>088A</t>
  </si>
  <si>
    <t>CARRYOVER ACCT. 4121</t>
  </si>
  <si>
    <t>CARRYOVER ACCT. 4155</t>
  </si>
  <si>
    <t>SPECIAL ED</t>
  </si>
  <si>
    <t>CTE MIN</t>
  </si>
  <si>
    <t>CTE</t>
  </si>
  <si>
    <t>MS CTE MIN</t>
  </si>
  <si>
    <t>CTE FTE</t>
  </si>
  <si>
    <t>CTE Enhance</t>
  </si>
  <si>
    <t>MS CTE</t>
  </si>
  <si>
    <t>&amp; INST 34</t>
  </si>
  <si>
    <t>17903</t>
  </si>
  <si>
    <t>18902</t>
  </si>
  <si>
    <t>37903</t>
  </si>
  <si>
    <t>GL 891 Unassigned to Minimum Fund Balance Policy</t>
  </si>
  <si>
    <t>GL 872 Economic Stabilization Policy</t>
  </si>
  <si>
    <t>GL 891 Unassigned MFBP</t>
  </si>
  <si>
    <t>Amount dedicated to Minimum Fund Balance Policy</t>
  </si>
  <si>
    <t>Percentage dedicated to Minimum Fund Balance Policy</t>
  </si>
  <si>
    <t>Amount Reported in GL 891</t>
  </si>
  <si>
    <t>Total Amount reported in GL 872</t>
  </si>
  <si>
    <t>Total Liabilities &amp; Deferred Inflows of Resources</t>
  </si>
  <si>
    <t>Select your district. This will populate the sheet appropriately.</t>
  </si>
  <si>
    <t>MUCKLESHOOT TRIBAL</t>
  </si>
  <si>
    <t>SUQUAMISH TRIBAL</t>
  </si>
  <si>
    <t>LUMMI TRIBAL</t>
  </si>
  <si>
    <t>Federal</t>
  </si>
  <si>
    <t>State</t>
  </si>
  <si>
    <t>Unrestricted</t>
  </si>
  <si>
    <t>Rate</t>
  </si>
  <si>
    <t>LACENTER</t>
  </si>
  <si>
    <t>TUKWILA</t>
  </si>
  <si>
    <t>EAST VALLEY</t>
  </si>
  <si>
    <t>I certify that any deficiency of revenues verses expenditures have been covered by non-Federal resources available to the district.</t>
  </si>
  <si>
    <t>14005 ABERDEEN SCHOOL DISTRICT</t>
  </si>
  <si>
    <t>21226 ADNA SCHOOL DISTRICT</t>
  </si>
  <si>
    <t>22017 ALMIRA SCHOOL DISTRICT</t>
  </si>
  <si>
    <t>29103 ANACORTES SCHOOL DISTRICT</t>
  </si>
  <si>
    <t>31016 ARLINGTON SCHOOL DISTRICT</t>
  </si>
  <si>
    <t>02420 ASOTIN-ANATONE SCHOOL DISTRICT</t>
  </si>
  <si>
    <t>17408 AUBURN SCHOOL DISTRICT</t>
  </si>
  <si>
    <t>06119 BATTLE GROUND SCHOOL DISTRICT</t>
  </si>
  <si>
    <t>17405 BELLEVUE SCHOOL DISTRICT</t>
  </si>
  <si>
    <t>37501 BELLINGHAM SCHOOL DISTRICT</t>
  </si>
  <si>
    <t>01122 BENGE SCHOOL DISTRICT</t>
  </si>
  <si>
    <t>27403 BETHEL SCHOOL DISTRICT</t>
  </si>
  <si>
    <t>20203 BICKLETON SCHOOL DISTRICT</t>
  </si>
  <si>
    <t>37503 BLAINE SCHOOL DISTRICT</t>
  </si>
  <si>
    <t>21234 BOISTFORT SCHOOL DISTRICT</t>
  </si>
  <si>
    <t>18100 BREMERTON SCHOOL DISTRICT</t>
  </si>
  <si>
    <t>24111 BREWSTER SCHOOL DISTRICT</t>
  </si>
  <si>
    <t>09075 BRIDGEPORT SCHOOL DISTRICT</t>
  </si>
  <si>
    <t>16046 BRINNON SCHOOL DISTRICT</t>
  </si>
  <si>
    <t>06117 CAMAS SCHOOL DISTRICT</t>
  </si>
  <si>
    <t>05401 CAPE FLATTERY SCHOOL DISTRICT</t>
  </si>
  <si>
    <t>27019 CARBONADO SCHOOL DISTRICT</t>
  </si>
  <si>
    <t>04228 CASCADE SCHOOL DISTRICT</t>
  </si>
  <si>
    <t>04222 CASHMERE SCHOOL DISTRICT</t>
  </si>
  <si>
    <t>08401 CASTLE ROCK SCHOOL DISTRICT</t>
  </si>
  <si>
    <t>20215 CENTERVILLE SCHOOL DISTRICT</t>
  </si>
  <si>
    <t>18401 CENTRAL KITSAP SCHOOL DISTRICT</t>
  </si>
  <si>
    <t>32356 CENTRAL VALLEY SCHOOL DISTRICT</t>
  </si>
  <si>
    <t>21401 CENTRALIA SCHOOL DISTRICT</t>
  </si>
  <si>
    <t>21302 CHEHALIS SCHOOL DISTRICT</t>
  </si>
  <si>
    <t>32360 CHENEY SCHOOL DISTRICT</t>
  </si>
  <si>
    <t>33036 CHEWELAH SCHOOL DISTRICT</t>
  </si>
  <si>
    <t>16049 CHIMACUM SCHOOL DISTRICT</t>
  </si>
  <si>
    <t>02250 CLARKSTON SCHOOL DISTRICT</t>
  </si>
  <si>
    <t>19404 CLE ELUM-ROSLYN SCHOOL DISTRICT</t>
  </si>
  <si>
    <t>27400 CLOVER PARK SCHOOL DISTRICT</t>
  </si>
  <si>
    <t>38300 COLFAX SCHOOL DISTRICT</t>
  </si>
  <si>
    <t>36250 COLLEGE PLACE SCHOOL DISTRICT</t>
  </si>
  <si>
    <t>38306 COLTON SCHOOL DISTRICT</t>
  </si>
  <si>
    <t>33206 COLUMBIA (STEVENS) SCHOOL DISTRICT</t>
  </si>
  <si>
    <t>33115 COLVILLE SCHOOL DISTRICT</t>
  </si>
  <si>
    <t>29011 CONCRETE SCHOOL DISTRICT</t>
  </si>
  <si>
    <t>29317 CONWAY SCHOOL DISTRICT</t>
  </si>
  <si>
    <t>14099 COSMOPOLIS SCHOOL DISTRICT</t>
  </si>
  <si>
    <t>15204 COUPEVILLE SCHOOL DISTRICT</t>
  </si>
  <si>
    <t>05313 CRESCENT SCHOOL DISTRICT</t>
  </si>
  <si>
    <t>22073 CRESTON SCHOOL DISTRICT</t>
  </si>
  <si>
    <t>10050 CURLEW SCHOOL DISTRICT</t>
  </si>
  <si>
    <t>26059 CUSICK SCHOOL DISTRICT</t>
  </si>
  <si>
    <t>19007 DAMMAN SCHOOL DISTRICT</t>
  </si>
  <si>
    <t>31330 DARRINGTON SCHOOL DISTRICT</t>
  </si>
  <si>
    <t>22207 DAVENPORT SCHOOL DISTRICT</t>
  </si>
  <si>
    <t>07002 DAYTON SCHOOL DISTRICT</t>
  </si>
  <si>
    <t>32414 DEER PARK SCHOOL DISTRICT</t>
  </si>
  <si>
    <t>27343 DIERINGER SCHOOL DISTRICT</t>
  </si>
  <si>
    <t>36101 DIXIE SCHOOL DISTRICT</t>
  </si>
  <si>
    <t>09206 EASTMONT SCHOOL DISTRICT</t>
  </si>
  <si>
    <t>19028 EASTON SCHOOL DISTRICT</t>
  </si>
  <si>
    <t>27404 EATONVILLE SCHOOL DISTRICT</t>
  </si>
  <si>
    <t>31015 EDMONDS SCHOOL DISTRICT</t>
  </si>
  <si>
    <t>19401 ELLENSBURG SCHOOL DISTRICT</t>
  </si>
  <si>
    <t>14068 ELMA SCHOOL DISTRICT</t>
  </si>
  <si>
    <t>38308 ENDICOTT SCHOOL DISTRICT</t>
  </si>
  <si>
    <t>04127 ENTIAT SCHOOL DISTRICT</t>
  </si>
  <si>
    <t>17216 ENUMCLAW SCHOOL DISTRICT</t>
  </si>
  <si>
    <t>13165 EPHRATA SCHOOL DISTRICT</t>
  </si>
  <si>
    <t>21036 EVALINE SCHOOL DISTRICT</t>
  </si>
  <si>
    <t>31002 EVERETT SCHOOL DISTRICT</t>
  </si>
  <si>
    <t>17210 FEDERAL WAY SCHOOL DISTRICT</t>
  </si>
  <si>
    <t>37502 FERNDALE SCHOOL DISTRICT</t>
  </si>
  <si>
    <t>27417 FIFE SCHOOL DISTRICT</t>
  </si>
  <si>
    <t>03053 FINLEY SCHOOL DISTRICT</t>
  </si>
  <si>
    <t>27402 FRANKLIN PIERCE SCHOOL DISTRICT</t>
  </si>
  <si>
    <t>32358 FREEMAN SCHOOL DISTRICT</t>
  </si>
  <si>
    <t>38302 GARFIELD SCHOOL DISTRICT</t>
  </si>
  <si>
    <t>20401 GLENWOOD SCHOOL DISTRICT</t>
  </si>
  <si>
    <t>20404 GOLDENDALE SCHOOL DISTRICT</t>
  </si>
  <si>
    <t>13301 GRAND COULEE DAM SCHOOL DISTRICT</t>
  </si>
  <si>
    <t>39200 GRANDVIEW SCHOOL DISTRICT</t>
  </si>
  <si>
    <t>39204 GRANGER SCHOOL DISTRICT</t>
  </si>
  <si>
    <t>31332 GRANITE FALLS SCHOOL DISTRICT</t>
  </si>
  <si>
    <t>23054 GRAPEVIEW SCHOOL DISTRICT</t>
  </si>
  <si>
    <t>32312 GREAT NORTHERN SCHOOL DISTRICT</t>
  </si>
  <si>
    <t>06103 GREEN MOUNTAIN SCHOOL DISTRICT</t>
  </si>
  <si>
    <t>34324 GRIFFIN SCHOOL DISTRICT</t>
  </si>
  <si>
    <t>22204 HARRINGTON SCHOOL DISTRICT</t>
  </si>
  <si>
    <t>39203 HIGHLAND SCHOOL DISTRICT</t>
  </si>
  <si>
    <t>17401 HIGHLINE SCHOOL DISTRICT</t>
  </si>
  <si>
    <t>06098 HOCKINSON SCHOOL DISTRICT</t>
  </si>
  <si>
    <t>23404 HOOD CANAL SCHOOL DISTRICT</t>
  </si>
  <si>
    <t>14028 HOQUIAM SCHOOL DISTRICT</t>
  </si>
  <si>
    <t>10070 INCHELIUM SCHOOL DISTRICT</t>
  </si>
  <si>
    <t>31063 INDEX SCHOOL DISTRICT</t>
  </si>
  <si>
    <t>17411 ISSAQUAH SCHOOL DISTRICT</t>
  </si>
  <si>
    <t>11056 KAHLOTUS SCHOOL DISTRICT</t>
  </si>
  <si>
    <t>08402 KALAMA SCHOOL DISTRICT</t>
  </si>
  <si>
    <t>10003 KELLER SCHOOL DISTRICT</t>
  </si>
  <si>
    <t>08458 KELSO SCHOOL DISTRICT</t>
  </si>
  <si>
    <t>03017 KENNEWICK SCHOOL DISTRICT</t>
  </si>
  <si>
    <t>17415 KENT SCHOOL DISTRICT</t>
  </si>
  <si>
    <t>33212 KETTLE FALLS SCHOOL DISTRICT</t>
  </si>
  <si>
    <t>19403 KITTITAS SCHOOL DISTRICT</t>
  </si>
  <si>
    <t>20402 KLICKITAT SCHOOL DISTRICT</t>
  </si>
  <si>
    <t>29311 LA CONNER SCHOOL DISTRICT</t>
  </si>
  <si>
    <t>04129 LAKE CHELAN SCHOOL DISTRICT</t>
  </si>
  <si>
    <t>31004 LAKE STEVENS SCHOOL DISTRICT</t>
  </si>
  <si>
    <t>17414 LAKE WASHINGTON SCHOOL DISTRICT</t>
  </si>
  <si>
    <t>31306 LAKEWOOD SCHOOL DISTRICT</t>
  </si>
  <si>
    <t>38264 LAMONT SCHOOL DISTRICT</t>
  </si>
  <si>
    <t>32362 LIBERTY SCHOOL DISTRICT</t>
  </si>
  <si>
    <t>01158 LIND SCHOOL DISTRICT</t>
  </si>
  <si>
    <t>08122 LONGVIEW SCHOOL DISTRICT</t>
  </si>
  <si>
    <t>33183 LOON LAKE SCHOOL DISTRICT</t>
  </si>
  <si>
    <t>28144 LOPEZ SCHOOL DISTRICT</t>
  </si>
  <si>
    <t>20406 LYLE SCHOOL DISTRICT</t>
  </si>
  <si>
    <t>37504 LYNDEN SCHOOL DISTRICT</t>
  </si>
  <si>
    <t>39120 MABTON SCHOOL DISTRICT</t>
  </si>
  <si>
    <t>09207 MANSFIELD SCHOOL DISTRICT</t>
  </si>
  <si>
    <t>04019 MANSON SCHOOL DISTRICT</t>
  </si>
  <si>
    <t>23311 MARY M KNIGHT SCHOOL DISTRICT</t>
  </si>
  <si>
    <t>33207 MARY WALKER SCHOOL DISTRICT</t>
  </si>
  <si>
    <t>31025 MARYSVILLE SCHOOL DISTRICT</t>
  </si>
  <si>
    <t>32354 MEAD SCHOOL DISTRICT</t>
  </si>
  <si>
    <t>32326 MEDICAL LAKE SCHOOL DISTRICT</t>
  </si>
  <si>
    <t>17400 MERCER ISLAND SCHOOL DISTRICT</t>
  </si>
  <si>
    <t>37505 MERIDIAN SCHOOL DISTRICT</t>
  </si>
  <si>
    <t>24350 METHOW VALLEY SCHOOL DISTRICT</t>
  </si>
  <si>
    <t>30031 MILL A SCHOOL DISTRICT</t>
  </si>
  <si>
    <t>31103 MONROE SCHOOL DISTRICT</t>
  </si>
  <si>
    <t>14066 MONTESANO SCHOOL DISTRICT</t>
  </si>
  <si>
    <t>21214 MORTON SCHOOL DISTRICT</t>
  </si>
  <si>
    <t>13161 MOSES LAKE SCHOOL DISTRICT</t>
  </si>
  <si>
    <t>21206 MOSSYROCK SCHOOL DISTRICT</t>
  </si>
  <si>
    <t>39209 MOUNT ADAMS SCHOOL DISTRICT</t>
  </si>
  <si>
    <t>37507 MOUNT BAKER SCHOOL DISTRICT</t>
  </si>
  <si>
    <t>30029 MOUNT PLEASANT SCHOOL DISTRICT</t>
  </si>
  <si>
    <t>31006 MUKILTEO SCHOOL DISTRICT</t>
  </si>
  <si>
    <t>39003 NACHES VALLEY SCHOOL DISTRICT</t>
  </si>
  <si>
    <t>21014 NAPAVINE SCHOOL DISTRICT</t>
  </si>
  <si>
    <t>24014 NESPELEM SCHOOL DISTRICT</t>
  </si>
  <si>
    <t>26056 NEWPORT SCHOOL DISTRICT</t>
  </si>
  <si>
    <t>32325 NINE MILE FALLS SCHOOL DISTRICT</t>
  </si>
  <si>
    <t>37506 NOOKSACK VALLEY SCHOOL DISTRICT</t>
  </si>
  <si>
    <t>14064 NORTH BEACH SCHOOL DISTRICT</t>
  </si>
  <si>
    <t>11051 NORTH FRANKLIN SCHOOL DISTRICT</t>
  </si>
  <si>
    <t>18400 NORTH KITSAP SCHOOL DISTRICT</t>
  </si>
  <si>
    <t>23403 NORTH MASON SCHOOL DISTRICT</t>
  </si>
  <si>
    <t>25200 NORTH RIVER SCHOOL DISTRICT</t>
  </si>
  <si>
    <t>33211 NORTHPORT SCHOOL DISTRICT</t>
  </si>
  <si>
    <t>17417 NORTHSHORE SCHOOL DISTRICT</t>
  </si>
  <si>
    <t>15201 OAK HARBOR SCHOOL DISTRICT</t>
  </si>
  <si>
    <t>38324 OAKESDALE SCHOOL DISTRICT</t>
  </si>
  <si>
    <t>14400 OAKVILLE SCHOOL DISTRICT</t>
  </si>
  <si>
    <t>25101 OCEAN BEACH SCHOOL DISTRICT</t>
  </si>
  <si>
    <t>14172 OCOSTA SCHOOL DISTRICT</t>
  </si>
  <si>
    <t>22105 ODESSA SCHOOL DISTRICT</t>
  </si>
  <si>
    <t>24105 OKANOGAN SCHOOL DISTRICT</t>
  </si>
  <si>
    <t>34111 OLYMPIA SCHOOL DISTRICT</t>
  </si>
  <si>
    <t>24019 OMAK SCHOOL DISTRICT</t>
  </si>
  <si>
    <t>21300 ONALASKA SCHOOL DISTRICT</t>
  </si>
  <si>
    <t>33030 ONION CREEK SCHOOL DISTRICT</t>
  </si>
  <si>
    <t>32123 ORCHARD PRAIRIE SCHOOL DISTRICT</t>
  </si>
  <si>
    <t>10065 ORIENT SCHOOL DISTRICT</t>
  </si>
  <si>
    <t>09013 ORONDO SCHOOL DISTRICT</t>
  </si>
  <si>
    <t>24410 OROVILLE SCHOOL DISTRICT</t>
  </si>
  <si>
    <t>27344 ORTING SCHOOL DISTRICT</t>
  </si>
  <si>
    <t>01147 OTHELLO SCHOOL DISTRICT</t>
  </si>
  <si>
    <t>09102 PALISADES SCHOOL DISTRICT</t>
  </si>
  <si>
    <t>38301 PALOUSE SCHOOL DISTRICT</t>
  </si>
  <si>
    <t>11001 PASCO SCHOOL DISTRICT</t>
  </si>
  <si>
    <t>24122 PATEROS SCHOOL DISTRICT</t>
  </si>
  <si>
    <t>03050 PATERSON SCHOOL DISTRICT</t>
  </si>
  <si>
    <t>21301 PE ELL SCHOOL DISTRICT</t>
  </si>
  <si>
    <t>27401 PENINSULA SCHOOL DISTRICT</t>
  </si>
  <si>
    <t>23402 PIONEER SCHOOL DISTRICT</t>
  </si>
  <si>
    <t>12110 POMEROY SCHOOL DISTRICT</t>
  </si>
  <si>
    <t>05121 PORT ANGELES SCHOOL DISTRICT</t>
  </si>
  <si>
    <t>16050 PORT TOWNSEND SCHOOL DISTRICT</t>
  </si>
  <si>
    <t>36402 PRESCOTT SCHOOL DISTRICT</t>
  </si>
  <si>
    <t>32907</t>
  </si>
  <si>
    <t>03116 PROSSER SCHOOL DISTRICT</t>
  </si>
  <si>
    <t>38267 PULLMAN SCHOOL DISTRICT</t>
  </si>
  <si>
    <t>27003 PUYALLUP SCHOOL DISTRICT</t>
  </si>
  <si>
    <t>16020 QUEETS-CLEARWATER SCHOOL DISTRICT</t>
  </si>
  <si>
    <t>16048 QUILCENE SCHOOL DISTRICT</t>
  </si>
  <si>
    <t>05402 QUILLAYUTE VALLEY SCHOOL DISTRICT</t>
  </si>
  <si>
    <t>13144 QUINCY SCHOOL DISTRICT</t>
  </si>
  <si>
    <t>34307 RAINIER SCHOOL DISTRICT</t>
  </si>
  <si>
    <t>RAINIER PREP CHARTER</t>
  </si>
  <si>
    <t>17908</t>
  </si>
  <si>
    <t>25116 RAYMOND SCHOOL DISTRICT</t>
  </si>
  <si>
    <t>17403 RENTON SCHOOL DISTRICT</t>
  </si>
  <si>
    <t>10309 REPUBLIC SCHOOL DISTRICT</t>
  </si>
  <si>
    <t>03400 RICHLAND SCHOOL DISTRICT</t>
  </si>
  <si>
    <t>06122 RIDGEFIELD SCHOOL DISTRICT</t>
  </si>
  <si>
    <t>01160 RITZVILLE SCHOOL DISTRICT</t>
  </si>
  <si>
    <t>32416 RIVERSIDE SCHOOL DISTRICT</t>
  </si>
  <si>
    <t>17407 RIVERVIEW SCHOOL DISTRICT</t>
  </si>
  <si>
    <t>34401 ROCHESTER SCHOOL DISTRICT</t>
  </si>
  <si>
    <t>20403 ROOSEVELT SCHOOL DISTRICT</t>
  </si>
  <si>
    <t>38320 ROSALIA SCHOOL DISTRICT</t>
  </si>
  <si>
    <t>13160 ROYAL SCHOOL DISTRICT</t>
  </si>
  <si>
    <t>14104 SATSOP SCHOOL DISTRICT</t>
  </si>
  <si>
    <t>39119 SELAH SCHOOL DISTRICT</t>
  </si>
  <si>
    <t>26070 SELKIRK SCHOOL DISTRICT</t>
  </si>
  <si>
    <t>05323 SEQUIM SCHOOL DISTRICT</t>
  </si>
  <si>
    <t>23309 SHELTON SCHOOL DISTRICT</t>
  </si>
  <si>
    <t>17412 SHORELINE SCHOOL DISTRICT</t>
  </si>
  <si>
    <t>30002 SKAMANIA SCHOOL DISTRICT</t>
  </si>
  <si>
    <t>17404 SKYKOMISH SCHOOL DISTRICT</t>
  </si>
  <si>
    <t>31201 SNOHOMISH SCHOOL DISTRICT</t>
  </si>
  <si>
    <t>17410 SNOQUALMIE VALLEY SCHOOL DISTRICT</t>
  </si>
  <si>
    <t>13156 SOAP LAKE SCHOOL DISTRICT</t>
  </si>
  <si>
    <t>25118 SOUTH BEND SCHOOL DISTRICT</t>
  </si>
  <si>
    <t>18402 SOUTH KITSAP SCHOOL DISTRICT</t>
  </si>
  <si>
    <t>15206 SOUTH WHIDBEY SCHOOL DISTRICT</t>
  </si>
  <si>
    <t>23042 SOUTHSIDE SCHOOL DISTRICT</t>
  </si>
  <si>
    <t>32081 SPOKANE SCHOOL DISTRICT</t>
  </si>
  <si>
    <t>SPOKANE INT'L CHARTER</t>
  </si>
  <si>
    <t>32901</t>
  </si>
  <si>
    <t>22008 SPRAGUE SCHOOL DISTRICT</t>
  </si>
  <si>
    <t>07035 STARBUCK SCHOOL DISTRICT</t>
  </si>
  <si>
    <t>04069 STEHEKIN SCHOOL DISTRICT</t>
  </si>
  <si>
    <t>27001 STEILACOOM HIST. SCHOOL DISTRICT</t>
  </si>
  <si>
    <t>38304 STEPTOE SCHOOL DISTRICT</t>
  </si>
  <si>
    <t>30303 STEVENSON-CARSON SCHOOL DISTRICT</t>
  </si>
  <si>
    <t>31311 SULTAN SCHOOL DISTRICT</t>
  </si>
  <si>
    <t>27905</t>
  </si>
  <si>
    <t>17902</t>
  </si>
  <si>
    <t>33202 SUMMIT VALLEY SCHOOL DISTRICT</t>
  </si>
  <si>
    <t>27320 SUMNER SCHOOL DISTRICT</t>
  </si>
  <si>
    <t>39201 SUNNYSIDE SCHOOL DISTRICT</t>
  </si>
  <si>
    <t>27010 TACOMA SCHOOL DISTRICT</t>
  </si>
  <si>
    <t>14077 TAHOLAH SCHOOL DISTRICT</t>
  </si>
  <si>
    <t>17409 TAHOMA SCHOOL DISTRICT</t>
  </si>
  <si>
    <t>38265 TEKOA SCHOOL DISTRICT</t>
  </si>
  <si>
    <t>34402 TENINO SCHOOL DISTRICT</t>
  </si>
  <si>
    <t>19400 THORP SCHOOL DISTRICT</t>
  </si>
  <si>
    <t>21237 TOLEDO SCHOOL DISTRICT</t>
  </si>
  <si>
    <t>24404 TONASKET SCHOOL DISTRICT</t>
  </si>
  <si>
    <t>39202 TOPPENISH SCHOOL DISTRICT</t>
  </si>
  <si>
    <t>36300 TOUCHET SCHOOL DISTRICT</t>
  </si>
  <si>
    <t>08130 TOUTLE LAKE SCHOOL DISTRICT</t>
  </si>
  <si>
    <t>20400 TROUT LAKE SCHOOL DISTRICT</t>
  </si>
  <si>
    <t>17406 TUKWILA SCHOOL DISTRICT</t>
  </si>
  <si>
    <t>34033 TUMWATER SCHOOL DISTRICT</t>
  </si>
  <si>
    <t>39002 UNION GAP SCHOOL DISTRICT</t>
  </si>
  <si>
    <t>27083 UNIVERSITY PLACE SCHOOL DISTRICT</t>
  </si>
  <si>
    <t>33070 VALLEY SCHOOL DISTRICT</t>
  </si>
  <si>
    <t>06037 VANCOUVER SCHOOL DISTRICT</t>
  </si>
  <si>
    <t>17402 VASHON ISLAND SCHOOL DISTRICT</t>
  </si>
  <si>
    <t>35200 WAHKIAKUM SCHOOL DISTRICT</t>
  </si>
  <si>
    <t>13073 WAHLUKE SCHOOL DISTRICT</t>
  </si>
  <si>
    <t>36401 WAITSBURG SCHOOL DISTRICT</t>
  </si>
  <si>
    <t>39207 WAPATO SCHOOL DISTRICT</t>
  </si>
  <si>
    <t>13146 WARDEN SCHOOL DISTRICT</t>
  </si>
  <si>
    <t>06112 WASHOUGAL SCHOOL DISTRICT</t>
  </si>
  <si>
    <t>01109 WASHTUCNA SCHOOL DISTRICT</t>
  </si>
  <si>
    <t>09209 WATERVILLE SCHOOL DISTRICT</t>
  </si>
  <si>
    <t>33049 WELLPINIT SCHOOL DISTRICT</t>
  </si>
  <si>
    <t>04246 WENATCHEE SCHOOL DISTRICT</t>
  </si>
  <si>
    <t>21303 WHITE PASS SCHOOL DISTRICT</t>
  </si>
  <si>
    <t>27416 WHITE RIVER SCHOOL DISTRICT</t>
  </si>
  <si>
    <t>22200 WILBUR SCHOOL DISTRICT</t>
  </si>
  <si>
    <t>25160 WILLAPA VALLEY SCHOOL DISTRICT</t>
  </si>
  <si>
    <t>13167 WILSON CREEK SCHOOL DISTRICT</t>
  </si>
  <si>
    <t>21232 WINLOCK SCHOOL DISTRICT</t>
  </si>
  <si>
    <t>14117 WISHKAH VALLEY SCHOOL DISTRICT</t>
  </si>
  <si>
    <t>20094 WISHRAM SCHOOL DISTRICT</t>
  </si>
  <si>
    <t>08404 WOODLAND SCHOOL DISTRICT</t>
  </si>
  <si>
    <t>39007 YAKIMA SCHOOL DISTRICT</t>
  </si>
  <si>
    <t>34002 YELM SCHOOL DISTRICT</t>
  </si>
  <si>
    <t>39205 ZILLAH SCHOOL DISTRICT</t>
  </si>
  <si>
    <t xml:space="preserve">Carryover methodology: </t>
  </si>
  <si>
    <t>Allowed Carryover</t>
  </si>
  <si>
    <t>Unspent</t>
  </si>
  <si>
    <t>Voc Enhancement</t>
  </si>
  <si>
    <t>17905</t>
  </si>
  <si>
    <t>17910</t>
  </si>
  <si>
    <t xml:space="preserve">RAINIER PREP </t>
  </si>
  <si>
    <t>SUMMIT: ATLAS</t>
  </si>
  <si>
    <t>used for</t>
  </si>
  <si>
    <t>05903</t>
  </si>
  <si>
    <t>QUILEUTE TRIBAL</t>
  </si>
  <si>
    <t>Fund Balance Reporting Tool Instructions</t>
  </si>
  <si>
    <t>Each sheet has its own instructions and guidance copied from the Accounting Manual.</t>
  </si>
  <si>
    <t xml:space="preserve">GL 872 Committed to Economic Stabilization </t>
  </si>
  <si>
    <r>
      <t xml:space="preserve">From any other sheet, click on </t>
    </r>
    <r>
      <rPr>
        <b/>
        <sz val="12"/>
        <color rgb="FF0000FF"/>
        <rFont val="Calibri"/>
        <family val="2"/>
        <scheme val="minor"/>
      </rPr>
      <t xml:space="preserve">(Return to summary sheet) </t>
    </r>
    <r>
      <rPr>
        <sz val="12"/>
        <color theme="1"/>
        <rFont val="Calibri"/>
        <family val="2"/>
        <scheme val="minor"/>
      </rPr>
      <t>to return to the "Fund Balance Summary" sheet.</t>
    </r>
  </si>
  <si>
    <t>It is recommended that you save a copy of this excel file for your own use.</t>
  </si>
  <si>
    <t>Curriculum (Activity 33)</t>
  </si>
  <si>
    <t>Program 29 Carryover</t>
  </si>
  <si>
    <t>Special Education–Other–Federal Program 29</t>
  </si>
  <si>
    <t>Expenditures, Program 29</t>
  </si>
  <si>
    <t>Add Current Year Federal Award (Revenue 5329)</t>
  </si>
  <si>
    <t>Quileute Tribal</t>
  </si>
  <si>
    <t>Summit Sierra Charter</t>
  </si>
  <si>
    <t>Rainier Prep Charter</t>
  </si>
  <si>
    <t>Summit Olympus Charter</t>
  </si>
  <si>
    <t>Lummi Tribal</t>
  </si>
  <si>
    <t>HP LAP Total</t>
  </si>
  <si>
    <t>Regular LAP Total</t>
  </si>
  <si>
    <t>06701</t>
  </si>
  <si>
    <t>06701 ESA 112</t>
  </si>
  <si>
    <t>WA HE LUT</t>
  </si>
  <si>
    <t>34901</t>
  </si>
  <si>
    <t>LAP Program 55 High Poverty</t>
  </si>
  <si>
    <t>LAP Program 55 Total Carryover</t>
  </si>
  <si>
    <t>Program 55 High Poverty Carryover</t>
  </si>
  <si>
    <r>
      <t xml:space="preserve">Apportionment Reports by </t>
    </r>
    <r>
      <rPr>
        <u/>
        <sz val="10"/>
        <color rgb="FF000000"/>
        <rFont val="Calibri"/>
        <family val="2"/>
        <scheme val="minor"/>
      </rPr>
      <t>Office of Superintendent of Public Instruction</t>
    </r>
    <r>
      <rPr>
        <sz val="10"/>
        <color rgb="FF000000"/>
        <rFont val="Calibri"/>
        <family val="2"/>
        <scheme val="minor"/>
      </rPr>
      <t xml:space="preserve"> is licensed under a </t>
    </r>
    <r>
      <rPr>
        <u/>
        <sz val="10"/>
        <color rgb="FF000000"/>
        <rFont val="Calibri"/>
        <family val="2"/>
        <scheme val="minor"/>
      </rPr>
      <t>Creative Commons Attribution 4.0 International License</t>
    </r>
  </si>
  <si>
    <t>27901</t>
  </si>
  <si>
    <t>17911</t>
  </si>
  <si>
    <t>39901</t>
  </si>
  <si>
    <t>FED RESTRICTED</t>
  </si>
  <si>
    <t>SUMNER – BONNEY LAKE</t>
  </si>
  <si>
    <t>Expenditures - Revenue 7199</t>
  </si>
  <si>
    <t>Sub-Funds</t>
  </si>
  <si>
    <t>Total Assets &amp; Deferred Outflows of Resources</t>
  </si>
  <si>
    <t>General Fund Equity Accounts, by SUB-FUND</t>
  </si>
  <si>
    <t xml:space="preserve">GENERAL FUND EQUITY ACCOUNTS, BY SUB-FUND </t>
  </si>
  <si>
    <t xml:space="preserve">Districts are encouraged to track Fund Balance Equity, by Sub-Fund.  </t>
  </si>
  <si>
    <t xml:space="preserve">Columns L &amp; M are added together in column N. </t>
  </si>
  <si>
    <t>Column O compares column N to column B.</t>
  </si>
  <si>
    <t>LAP Regular</t>
  </si>
  <si>
    <t>LAP HiPov</t>
  </si>
  <si>
    <t>27901 CHIEF LESCHI TRIBAL COMPACT</t>
  </si>
  <si>
    <t xml:space="preserve">LAP Program 55 Total Recovery </t>
  </si>
  <si>
    <t>Summit Public School: Atlas</t>
  </si>
  <si>
    <t>Recovery Rate</t>
  </si>
  <si>
    <t xml:space="preserve">Recovery </t>
  </si>
  <si>
    <t xml:space="preserve">GL 828 Restricted for Carryover of Food Service Revenue </t>
  </si>
  <si>
    <t>This account is provided as a means for accumulating and restricting ending fund balance that derives from net gains of the district's food service program. The excess of food service program revenue over total expenditures is recorded in this account. Amounts in this account may only be used for the benefit of the district's food service program.</t>
  </si>
  <si>
    <t>For more information, see the Food Service Program Guidance in Appendix B of the Accounting Manual for School Districts in Washington state.</t>
  </si>
  <si>
    <t>INSTRUCTIONS:</t>
  </si>
  <si>
    <t>The County–District number field will pre-populate from the Fund Balance Summary worksheet.</t>
  </si>
  <si>
    <t>In cells B15:B21, enter the following amounts (top to bottom):</t>
  </si>
  <si>
    <t>If you have a deficiency of revenues over expenditures, (that is, cell D29 is negative), you will need to print out a copy of the worksheet, and sign the certification. This certifies that the district used non-federal resources to cover the deficit in the food service account.</t>
  </si>
  <si>
    <r>
      <rPr>
        <sz val="11"/>
        <color theme="1"/>
        <rFont val="Wingdings"/>
        <charset val="2"/>
      </rPr>
      <t>l</t>
    </r>
    <r>
      <rPr>
        <sz val="11"/>
        <color theme="1"/>
        <rFont val="Calibri"/>
        <family val="2"/>
        <scheme val="minor"/>
      </rPr>
      <t xml:space="preserve"> Salaries and Benefits (any expenditures coded to Objects 2, 3, or 4.)</t>
    </r>
  </si>
  <si>
    <r>
      <rPr>
        <sz val="11"/>
        <color theme="1"/>
        <rFont val="Wingdings"/>
        <charset val="2"/>
      </rPr>
      <t>l</t>
    </r>
    <r>
      <rPr>
        <sz val="11"/>
        <color theme="1"/>
        <rFont val="Calibri"/>
        <family val="2"/>
        <scheme val="minor"/>
      </rPr>
      <t xml:space="preserve">  Non-Food Services (any expenditures coded to Object 7 EXCEPT those in Activity 42.)</t>
    </r>
  </si>
  <si>
    <r>
      <rPr>
        <sz val="11"/>
        <color theme="1"/>
        <rFont val="Wingdings"/>
        <charset val="2"/>
      </rPr>
      <t>l</t>
    </r>
    <r>
      <rPr>
        <sz val="11"/>
        <color theme="1"/>
        <rFont val="Calibri"/>
        <family val="2"/>
        <scheme val="minor"/>
      </rPr>
      <t xml:space="preserve">  Food Services (Activity 42, Object 7).</t>
    </r>
  </si>
  <si>
    <r>
      <rPr>
        <sz val="11"/>
        <color theme="1"/>
        <rFont val="Wingdings"/>
        <charset val="2"/>
      </rPr>
      <t>l</t>
    </r>
    <r>
      <rPr>
        <sz val="11"/>
        <color theme="1"/>
        <rFont val="Calibri"/>
        <family val="2"/>
        <scheme val="minor"/>
      </rPr>
      <t xml:space="preserve">  Travel and Debit Transfers (any expenditures coded to Object 0 or Object 8.)</t>
    </r>
  </si>
  <si>
    <r>
      <rPr>
        <sz val="11"/>
        <color theme="1"/>
        <rFont val="Wingdings"/>
        <charset val="2"/>
      </rPr>
      <t>l</t>
    </r>
    <r>
      <rPr>
        <sz val="11"/>
        <color theme="1"/>
        <rFont val="Calibri"/>
        <family val="2"/>
        <scheme val="minor"/>
      </rPr>
      <t xml:space="preserve">  Capital Outlay (any expenditure coded to Object 9.)</t>
    </r>
  </si>
  <si>
    <r>
      <rPr>
        <sz val="11"/>
        <color theme="1"/>
        <rFont val="Wingdings"/>
        <charset val="2"/>
      </rPr>
      <t>l</t>
    </r>
    <r>
      <rPr>
        <sz val="11"/>
        <color theme="1"/>
        <rFont val="Calibri"/>
        <family val="2"/>
        <scheme val="minor"/>
      </rPr>
      <t xml:space="preserve"> Non-Food Supplies (any expenditures coded to Object 5 EXCEPT those in Activity 42.)</t>
    </r>
  </si>
  <si>
    <r>
      <rPr>
        <sz val="11"/>
        <color theme="1"/>
        <rFont val="Wingdings"/>
        <charset val="2"/>
      </rPr>
      <t>l</t>
    </r>
    <r>
      <rPr>
        <sz val="11"/>
        <color theme="1"/>
        <rFont val="Calibri"/>
        <family val="2"/>
        <scheme val="minor"/>
      </rPr>
      <t xml:space="preserve"> Food Supplies (Activity 42, Object 5).</t>
    </r>
  </si>
  <si>
    <t>Check Column B to Column N. Should equal zero</t>
  </si>
  <si>
    <t xml:space="preserve">Activity 34 Professional Learning Days </t>
  </si>
  <si>
    <t>Activity 34 Professional Learning Days: Allocation Carryover</t>
  </si>
  <si>
    <t>LUMMI TRIBAL AGENCY</t>
  </si>
  <si>
    <t>SUMMIT ATLAS</t>
  </si>
  <si>
    <t>YAKAMA NATION TRIBAL</t>
  </si>
  <si>
    <t>CHIEF LESCHI TRIBAL</t>
  </si>
  <si>
    <t>SUMMIT OLYMPUS</t>
  </si>
  <si>
    <t xml:space="preserve">SUMMIT SIERRA </t>
  </si>
  <si>
    <t>CHIEF LESCHI</t>
  </si>
  <si>
    <r>
      <t xml:space="preserve">It is recommended that districts print a copy of the completed </t>
    </r>
    <r>
      <rPr>
        <b/>
        <i/>
        <sz val="14"/>
        <color theme="1"/>
        <rFont val="Calibri"/>
        <family val="2"/>
        <scheme val="minor"/>
      </rPr>
      <t>GL828 worksheet</t>
    </r>
    <r>
      <rPr>
        <b/>
        <i/>
        <sz val="11"/>
        <color theme="1"/>
        <rFont val="Calibri"/>
        <family val="2"/>
        <scheme val="minor"/>
      </rPr>
      <t>, if applicable. Sign it, date it, and keep a copy on file for review by Child Nutrition Services and/or the auditors.</t>
    </r>
  </si>
  <si>
    <t>LA CENTER</t>
  </si>
  <si>
    <t>INST CARRYOVER</t>
  </si>
  <si>
    <t>INST. 4156</t>
  </si>
  <si>
    <t>ACCT. 4156 &amp; 34</t>
  </si>
  <si>
    <t>Z603</t>
  </si>
  <si>
    <t>CTE 9-12 TOTAL</t>
  </si>
  <si>
    <t xml:space="preserve">Basic Ed </t>
  </si>
  <si>
    <t xml:space="preserve">Alloc </t>
  </si>
  <si>
    <t>BASIC ED</t>
  </si>
  <si>
    <t>Per Student</t>
  </si>
  <si>
    <t>per Student</t>
  </si>
  <si>
    <t>Z583</t>
  </si>
  <si>
    <t>CTE 7-8 TOTAL</t>
  </si>
  <si>
    <t>Allocation</t>
  </si>
  <si>
    <t>Lessor of [Allocation or Net Expd-Carryover]</t>
  </si>
  <si>
    <t>2018-19       PLD 34</t>
  </si>
  <si>
    <t>Paul Entry</t>
  </si>
  <si>
    <t>Add Current Year Activity 34 Allocation</t>
  </si>
  <si>
    <t>ACCT. 4126</t>
  </si>
  <si>
    <t>2019-20       PLD 34</t>
  </si>
  <si>
    <r>
      <rPr>
        <b/>
        <u/>
        <sz val="14"/>
        <color theme="1"/>
        <rFont val="Calibri"/>
        <family val="2"/>
        <scheme val="minor"/>
      </rPr>
      <t>SHEET: FUND BALANCE SUMMARY</t>
    </r>
    <r>
      <rPr>
        <b/>
        <sz val="14"/>
        <color theme="1"/>
        <rFont val="Calibri"/>
        <family val="2"/>
        <scheme val="minor"/>
      </rPr>
      <t xml:space="preserve"> — </t>
    </r>
    <r>
      <rPr>
        <b/>
        <u/>
        <sz val="14"/>
        <color theme="1"/>
        <rFont val="Calibri"/>
        <family val="2"/>
        <scheme val="minor"/>
      </rPr>
      <t>COLUMNS L and M</t>
    </r>
    <r>
      <rPr>
        <b/>
        <sz val="14"/>
        <color theme="1"/>
        <rFont val="Calibri"/>
        <family val="2"/>
        <scheme val="minor"/>
      </rPr>
      <t xml:space="preserve">   </t>
    </r>
    <r>
      <rPr>
        <sz val="12"/>
        <color theme="1"/>
        <rFont val="Calibri"/>
        <family val="2"/>
        <scheme val="minor"/>
      </rPr>
      <t xml:space="preserve">     </t>
    </r>
  </si>
  <si>
    <t xml:space="preserve">Direct Expenditures, Activity 34 </t>
  </si>
  <si>
    <t>18901</t>
  </si>
  <si>
    <t>17916</t>
  </si>
  <si>
    <t>32903</t>
  </si>
  <si>
    <t>ASOTIN-ANATONE</t>
  </si>
  <si>
    <t>CATALYST</t>
  </si>
  <si>
    <t>COLUMBIA (WALLA)</t>
  </si>
  <si>
    <t>COULEE/HARTLINE</t>
  </si>
  <si>
    <t>ESA 112</t>
  </si>
  <si>
    <t>ESD 101</t>
  </si>
  <si>
    <t>ESD 105</t>
  </si>
  <si>
    <t>ESD 112</t>
  </si>
  <si>
    <t>ESD 113</t>
  </si>
  <si>
    <t>ESD 123</t>
  </si>
  <si>
    <t>RAINIER VALLEY LEADERSHIP ACADEMY</t>
  </si>
  <si>
    <t>IMPACT PUGET SOUND</t>
  </si>
  <si>
    <t>IMPACT SALISH SEA</t>
  </si>
  <si>
    <t>LUMEN</t>
  </si>
  <si>
    <t>QUINAULT</t>
  </si>
  <si>
    <t>RAINIER PREP</t>
  </si>
  <si>
    <t>SPOKANE INT'L</t>
  </si>
  <si>
    <t>SUMMIT: OLYMPUS</t>
  </si>
  <si>
    <t>SUMMIT: SIERRA</t>
  </si>
  <si>
    <t>YAKAMA</t>
  </si>
  <si>
    <t>IMPACT PUBLIC SCHOOLS</t>
  </si>
  <si>
    <t>ESD 171</t>
  </si>
  <si>
    <t>ESD 189</t>
  </si>
  <si>
    <t>ESD 114</t>
  </si>
  <si>
    <t>ESD 121</t>
  </si>
  <si>
    <t>419902</t>
  </si>
  <si>
    <t xml:space="preserve">Stabilization </t>
  </si>
  <si>
    <t>Funds Available</t>
  </si>
  <si>
    <t>2020-21       PLD 34</t>
  </si>
  <si>
    <t>Transpo Stabl</t>
  </si>
  <si>
    <t>F-196</t>
  </si>
  <si>
    <t>KIONA-BENTON</t>
  </si>
  <si>
    <t>QUILEUTE TRIBAL SCHOOL</t>
  </si>
  <si>
    <t>EVERGREEN - CLARK</t>
  </si>
  <si>
    <t>MCCLEARY</t>
  </si>
  <si>
    <t>SUMMIT:ATLAS</t>
  </si>
  <si>
    <t>BAINBRIDGE ISLAND</t>
  </si>
  <si>
    <t>CATALYST CHARTER</t>
  </si>
  <si>
    <t>REARDAN-EDWALL</t>
  </si>
  <si>
    <t>NASELLE-GRAYS RIVER</t>
  </si>
  <si>
    <t>ORCAS ISLAND</t>
  </si>
  <si>
    <t xml:space="preserve">SAN JUAN ISLAND       </t>
  </si>
  <si>
    <t>BURLINGTON-EDISON</t>
  </si>
  <si>
    <t>MOUNT VERNON</t>
  </si>
  <si>
    <t>STANWOOD-CAMANO</t>
  </si>
  <si>
    <t>EAST VALLEY - SPOKANE</t>
  </si>
  <si>
    <t>WEST VALLEY - SPOKANE</t>
  </si>
  <si>
    <t>SPOKANE INTL ACADEMY</t>
  </si>
  <si>
    <t>LUMENS HIGH SCHOOL</t>
  </si>
  <si>
    <t>EVERGREEN - STEVENS</t>
  </si>
  <si>
    <t>COLUMBIA - STEVENS</t>
  </si>
  <si>
    <t xml:space="preserve">COLUMBIA - WALLA WALLA        </t>
  </si>
  <si>
    <t xml:space="preserve">EAST VALLEY  - YAKIMA     </t>
  </si>
  <si>
    <t xml:space="preserve">WEST VALLEY - YAKIMA    </t>
  </si>
  <si>
    <t>2020-21</t>
  </si>
  <si>
    <t>IMPACT COMMENCEMENT BAY</t>
  </si>
  <si>
    <t>27902</t>
  </si>
  <si>
    <t>LUMMI</t>
  </si>
  <si>
    <t>MUCKLESHOOT</t>
  </si>
  <si>
    <t>PINNACLES PREP</t>
  </si>
  <si>
    <t>38901</t>
  </si>
  <si>
    <t>37902</t>
  </si>
  <si>
    <t>QUILEUTE</t>
  </si>
  <si>
    <t>SUQUAMISH</t>
  </si>
  <si>
    <t>WHATCOM INTERGENERATIONAL</t>
  </si>
  <si>
    <t>17917</t>
  </si>
  <si>
    <t>WHY NOT YOU</t>
  </si>
  <si>
    <t>157A</t>
  </si>
  <si>
    <t>20-21 PLD 34</t>
  </si>
  <si>
    <t>2021-22       PLD 34</t>
  </si>
  <si>
    <t>32801 ESD 101</t>
  </si>
  <si>
    <t>39801 ESD 105</t>
  </si>
  <si>
    <t>06801 ESD 112</t>
  </si>
  <si>
    <t>11801 ESD 123</t>
  </si>
  <si>
    <t>04801 ESD 171</t>
  </si>
  <si>
    <t>17917 WHY NOT YOU CHARTER</t>
  </si>
  <si>
    <t>2020-21         PLD 34</t>
  </si>
  <si>
    <t>04901</t>
  </si>
  <si>
    <t>04901 PINNACLES PREP CHARTER</t>
  </si>
  <si>
    <t>37902 WHATCOM INTERGENERATIONAL CHARTER</t>
  </si>
  <si>
    <t>Activity 34 Total</t>
  </si>
  <si>
    <t>Washtucna School District</t>
  </si>
  <si>
    <t>Benge School District</t>
  </si>
  <si>
    <t>Othello School District</t>
  </si>
  <si>
    <t>Lind School District</t>
  </si>
  <si>
    <t>Ritzville School District</t>
  </si>
  <si>
    <t>Clarkston School District</t>
  </si>
  <si>
    <t>Asotin-Anatone School District</t>
  </si>
  <si>
    <t>Kennewick School District</t>
  </si>
  <si>
    <t>Paterson School District</t>
  </si>
  <si>
    <t>Kiona-Benton City School District</t>
  </si>
  <si>
    <t>Finley School District</t>
  </si>
  <si>
    <t>Prosser School District</t>
  </si>
  <si>
    <t>Richland School District</t>
  </si>
  <si>
    <t>Manson School District</t>
  </si>
  <si>
    <t>Stehekin School District</t>
  </si>
  <si>
    <t>Entiat School District</t>
  </si>
  <si>
    <t>Lake Chelan School District</t>
  </si>
  <si>
    <t>CASHMERE SCHOOL DISTRICT</t>
  </si>
  <si>
    <t>Cascade School District</t>
  </si>
  <si>
    <t>Wenatchee School District</t>
  </si>
  <si>
    <t>Port Angeles School District</t>
  </si>
  <si>
    <t>Crescent School District</t>
  </si>
  <si>
    <t>Sequim School District</t>
  </si>
  <si>
    <t>Cape Flattery School District</t>
  </si>
  <si>
    <t>Quillayute Valley School District</t>
  </si>
  <si>
    <t>Quileute Tribal School District</t>
  </si>
  <si>
    <t>Vancouver School District</t>
  </si>
  <si>
    <t>Hockinson School District</t>
  </si>
  <si>
    <t>La Center School District</t>
  </si>
  <si>
    <t>Green Mountain School District</t>
  </si>
  <si>
    <t>Washougal School District</t>
  </si>
  <si>
    <t>Evergreen School District (Clark)</t>
  </si>
  <si>
    <t>Camas School District</t>
  </si>
  <si>
    <t>Battle Ground School District</t>
  </si>
  <si>
    <t>Ridgefield School District</t>
  </si>
  <si>
    <t>Dayton School District</t>
  </si>
  <si>
    <t>Starbuck School District</t>
  </si>
  <si>
    <t>Longview School District</t>
  </si>
  <si>
    <t>Toutle Lake School District</t>
  </si>
  <si>
    <t>Castle Rock School District</t>
  </si>
  <si>
    <t>Kalama School District</t>
  </si>
  <si>
    <t>Woodland School District</t>
  </si>
  <si>
    <t>Kelso School District</t>
  </si>
  <si>
    <t>Orondo School District</t>
  </si>
  <si>
    <t>Bridgeport School District</t>
  </si>
  <si>
    <t>Palisades School District</t>
  </si>
  <si>
    <t>Eastmont School District</t>
  </si>
  <si>
    <t>Mansfield School District</t>
  </si>
  <si>
    <t>Waterville School District</t>
  </si>
  <si>
    <t>Keller School District</t>
  </si>
  <si>
    <t>Curlew School District</t>
  </si>
  <si>
    <t>Orient School District</t>
  </si>
  <si>
    <t>Inchelium School District</t>
  </si>
  <si>
    <t>Republic School District</t>
  </si>
  <si>
    <t>Pasco School District</t>
  </si>
  <si>
    <t>North Franklin School District</t>
  </si>
  <si>
    <t>Star School District No. 054</t>
  </si>
  <si>
    <t>Kahlotus School District</t>
  </si>
  <si>
    <t>Pomeroy School District</t>
  </si>
  <si>
    <t>Wahluke School District</t>
  </si>
  <si>
    <t>Quincy School District</t>
  </si>
  <si>
    <t>Warden School District</t>
  </si>
  <si>
    <t>Coulee-Hartline School District</t>
  </si>
  <si>
    <t>Soap Lake School District</t>
  </si>
  <si>
    <t>Royal School District</t>
  </si>
  <si>
    <t>Moses Lake School District</t>
  </si>
  <si>
    <t>Ephrata School District</t>
  </si>
  <si>
    <t>Wilson Creek School District</t>
  </si>
  <si>
    <t>Grand Coulee Dam School District</t>
  </si>
  <si>
    <t>Aberdeen School District</t>
  </si>
  <si>
    <t>Hoquiam School District</t>
  </si>
  <si>
    <t>North Beach School District</t>
  </si>
  <si>
    <t>McCleary School District</t>
  </si>
  <si>
    <t>Montesano School District</t>
  </si>
  <si>
    <t>Elma School District</t>
  </si>
  <si>
    <t>Taholah School District</t>
  </si>
  <si>
    <t>Lake Quinault School District</t>
  </si>
  <si>
    <t>Cosmopolis School District</t>
  </si>
  <si>
    <t>Satsop School District</t>
  </si>
  <si>
    <t>Wishkah Valley School District</t>
  </si>
  <si>
    <t>Ocosta School District</t>
  </si>
  <si>
    <t>Oakville School District</t>
  </si>
  <si>
    <t>Oak Harbor School District</t>
  </si>
  <si>
    <t>Coupeville School District</t>
  </si>
  <si>
    <t>South Whidbey School District</t>
  </si>
  <si>
    <t>Queets-Clearwater School District</t>
  </si>
  <si>
    <t>Brinnon School District</t>
  </si>
  <si>
    <t>Quilcene School District</t>
  </si>
  <si>
    <t>Chimacum School District</t>
  </si>
  <si>
    <t>Port Townsend School District</t>
  </si>
  <si>
    <t>Seattle Public Schools</t>
  </si>
  <si>
    <t>Federal Way School District</t>
  </si>
  <si>
    <t>Enumclaw School District</t>
  </si>
  <si>
    <t>Mercer Island School District</t>
  </si>
  <si>
    <t>Highline School District</t>
  </si>
  <si>
    <t>Vashon Island School District</t>
  </si>
  <si>
    <t>Renton School District</t>
  </si>
  <si>
    <t>Skykomish School District</t>
  </si>
  <si>
    <t>Bellevue School District</t>
  </si>
  <si>
    <t>Tukwila School District</t>
  </si>
  <si>
    <t>Riverview School District</t>
  </si>
  <si>
    <t>Auburn School District</t>
  </si>
  <si>
    <t>Tahoma School District</t>
  </si>
  <si>
    <t>Snoqualmie Valley School District</t>
  </si>
  <si>
    <t>Issaquah School District</t>
  </si>
  <si>
    <t>Shoreline School District</t>
  </si>
  <si>
    <t>Lake Washington School District</t>
  </si>
  <si>
    <t>Kent School District</t>
  </si>
  <si>
    <t>Northshore School District</t>
  </si>
  <si>
    <t>Muckleshoot Indian Tribe</t>
  </si>
  <si>
    <t>Bremerton School District</t>
  </si>
  <si>
    <t>Bainbridge Island School District</t>
  </si>
  <si>
    <t>North Kitsap School District</t>
  </si>
  <si>
    <t>Central Kitsap School District</t>
  </si>
  <si>
    <t>South Kitsap School District</t>
  </si>
  <si>
    <t>Suquamish Tribal Education Department</t>
  </si>
  <si>
    <t>Damman School District</t>
  </si>
  <si>
    <t>Easton School District</t>
  </si>
  <si>
    <t>Thorp School District</t>
  </si>
  <si>
    <t>Ellensburg School District</t>
  </si>
  <si>
    <t>Kittitas School District</t>
  </si>
  <si>
    <t>Cle Elum-Roslyn School District</t>
  </si>
  <si>
    <t>Wishram School District</t>
  </si>
  <si>
    <t>Bickleton School District</t>
  </si>
  <si>
    <t>Centerville School District</t>
  </si>
  <si>
    <t>Trout Lake School District</t>
  </si>
  <si>
    <t>Glenwood School District</t>
  </si>
  <si>
    <t>Klickitat School District</t>
  </si>
  <si>
    <t>Roosevelt School District</t>
  </si>
  <si>
    <t>Goldendale School District</t>
  </si>
  <si>
    <t>White Salmon Valley School District</t>
  </si>
  <si>
    <t>Lyle School District</t>
  </si>
  <si>
    <t>Napavine School District</t>
  </si>
  <si>
    <t>Evaline School District</t>
  </si>
  <si>
    <t>Mossyrock School District</t>
  </si>
  <si>
    <t>Morton School District</t>
  </si>
  <si>
    <t>Adna School District</t>
  </si>
  <si>
    <t>Winlock School District</t>
  </si>
  <si>
    <t>Boistfort School District</t>
  </si>
  <si>
    <t>Toledo School District</t>
  </si>
  <si>
    <t>Onalaska School District</t>
  </si>
  <si>
    <t>Pe Ell School District</t>
  </si>
  <si>
    <t>Chehalis School District</t>
  </si>
  <si>
    <t>White Pass School District</t>
  </si>
  <si>
    <t>Centralia School District</t>
  </si>
  <si>
    <t>Sprague School District</t>
  </si>
  <si>
    <t>Reardan-Edwall School District</t>
  </si>
  <si>
    <t>Almira School District</t>
  </si>
  <si>
    <t>Creston School District</t>
  </si>
  <si>
    <t>Odessa School District</t>
  </si>
  <si>
    <t>Wilbur School District</t>
  </si>
  <si>
    <t>Harrington School District</t>
  </si>
  <si>
    <t>Davenport School District</t>
  </si>
  <si>
    <t>Southside School District</t>
  </si>
  <si>
    <t>Grapeview School District</t>
  </si>
  <si>
    <t>Shelton School District</t>
  </si>
  <si>
    <t>Mary M Knight School District</t>
  </si>
  <si>
    <t>Pioneer School District</t>
  </si>
  <si>
    <t>North Mason School District</t>
  </si>
  <si>
    <t>Hood Canal School District</t>
  </si>
  <si>
    <t>Omak School District</t>
  </si>
  <si>
    <t>Okanogan School District</t>
  </si>
  <si>
    <t>Brewster School District</t>
  </si>
  <si>
    <t>Pateros School District</t>
  </si>
  <si>
    <t>Methow Valley School District</t>
  </si>
  <si>
    <t>Tonasket School District</t>
  </si>
  <si>
    <t>Oroville School District</t>
  </si>
  <si>
    <t>Ocean Beach School District</t>
  </si>
  <si>
    <t>Raymond School District</t>
  </si>
  <si>
    <t>South Bend School District</t>
  </si>
  <si>
    <t>Naselle-Grays River Valley School District</t>
  </si>
  <si>
    <t>Willapa Valley School District</t>
  </si>
  <si>
    <t>North River School District</t>
  </si>
  <si>
    <t>Newport School District</t>
  </si>
  <si>
    <t>Cusick School District</t>
  </si>
  <si>
    <t>Selkirk School District</t>
  </si>
  <si>
    <t>Steilacoom Hist. School District</t>
  </si>
  <si>
    <t>Puyallup School District</t>
  </si>
  <si>
    <t>Tacoma School District</t>
  </si>
  <si>
    <t>Carbonado School District</t>
  </si>
  <si>
    <t>University Place School District</t>
  </si>
  <si>
    <t>Dieringer School District</t>
  </si>
  <si>
    <t>Orting School District</t>
  </si>
  <si>
    <t>Clover Park School District</t>
  </si>
  <si>
    <t>Peninsula School District</t>
  </si>
  <si>
    <t>Franklin Pierce School District</t>
  </si>
  <si>
    <t>Bethel School District</t>
  </si>
  <si>
    <t>Eatonville School District</t>
  </si>
  <si>
    <t>White River School District</t>
  </si>
  <si>
    <t>Fife School District</t>
  </si>
  <si>
    <t>Chief Leschi Tribal Compact</t>
  </si>
  <si>
    <t>Shaw Island School District</t>
  </si>
  <si>
    <t>Orcas Island School District</t>
  </si>
  <si>
    <t>San Juan Island School District</t>
  </si>
  <si>
    <t>Concrete School District</t>
  </si>
  <si>
    <t>Burlington-Edison School District</t>
  </si>
  <si>
    <t>Sedro-Woolley School District</t>
  </si>
  <si>
    <t>Anacortes School District</t>
  </si>
  <si>
    <t>La Conner School District</t>
  </si>
  <si>
    <t>Conway School District</t>
  </si>
  <si>
    <t>Mount Vernon School District</t>
  </si>
  <si>
    <t>Skamania School District</t>
  </si>
  <si>
    <t>Mount Pleasant School District</t>
  </si>
  <si>
    <t>Mill A School District</t>
  </si>
  <si>
    <t>Stevenson-Carson School District</t>
  </si>
  <si>
    <t>Everett School District</t>
  </si>
  <si>
    <t>Lake Stevens School District</t>
  </si>
  <si>
    <t>Mukilteo School District</t>
  </si>
  <si>
    <t>Edmonds School District</t>
  </si>
  <si>
    <t>Arlington School District</t>
  </si>
  <si>
    <t>Marysville School District</t>
  </si>
  <si>
    <t>Index School District</t>
  </si>
  <si>
    <t>Monroe School District</t>
  </si>
  <si>
    <t>Snohomish School District</t>
  </si>
  <si>
    <t>Lakewood School District</t>
  </si>
  <si>
    <t>Sultan School District</t>
  </si>
  <si>
    <t>Darrington School District</t>
  </si>
  <si>
    <t>Granite Falls School District</t>
  </si>
  <si>
    <t>Stanwood-Camano School District</t>
  </si>
  <si>
    <t>Spokane School District</t>
  </si>
  <si>
    <t>Orchard Prairie School District</t>
  </si>
  <si>
    <t>Great Northern School District</t>
  </si>
  <si>
    <t>Nine Mile Falls School District</t>
  </si>
  <si>
    <t>Medical Lake School District</t>
  </si>
  <si>
    <t>Mead School District</t>
  </si>
  <si>
    <t>Central Valley School District</t>
  </si>
  <si>
    <t>Freeman School District</t>
  </si>
  <si>
    <t>Cheney School District</t>
  </si>
  <si>
    <t>East Valley School District (Spokane)</t>
  </si>
  <si>
    <t>Liberty School District</t>
  </si>
  <si>
    <t>West Valley School District (Spokane)</t>
  </si>
  <si>
    <t>Deer Park School District</t>
  </si>
  <si>
    <t>Riverside School District</t>
  </si>
  <si>
    <t>Onion Creek School District</t>
  </si>
  <si>
    <t>Chewelah School District</t>
  </si>
  <si>
    <t>Wellpinit School District</t>
  </si>
  <si>
    <t>Valley School District</t>
  </si>
  <si>
    <t>Colville School District</t>
  </si>
  <si>
    <t>Loon Lake School District</t>
  </si>
  <si>
    <t>Summit Valley School District</t>
  </si>
  <si>
    <t>Evergreen School District (Stevens)</t>
  </si>
  <si>
    <t>Columbia (Stevens) School District</t>
  </si>
  <si>
    <t>Mary Walker School District</t>
  </si>
  <si>
    <t>Northport School District</t>
  </si>
  <si>
    <t>Kettle Falls School District</t>
  </si>
  <si>
    <t>Yelm School District</t>
  </si>
  <si>
    <t>North Thurston Public Schools</t>
  </si>
  <si>
    <t>Tumwater School District</t>
  </si>
  <si>
    <t>Olympia School District</t>
  </si>
  <si>
    <t>Rainier School District</t>
  </si>
  <si>
    <t>Griffin School District</t>
  </si>
  <si>
    <t>Rochester School District</t>
  </si>
  <si>
    <t>Tenino School District</t>
  </si>
  <si>
    <t>WA HE LUT Indian School Agency</t>
  </si>
  <si>
    <t>Wahkiakum School District</t>
  </si>
  <si>
    <t>Dixie School District</t>
  </si>
  <si>
    <t>Walla Walla Public Schools</t>
  </si>
  <si>
    <t>College Place School District</t>
  </si>
  <si>
    <t>Touchet School District</t>
  </si>
  <si>
    <t>Columbia (Walla Walla) School District</t>
  </si>
  <si>
    <t>Waitsburg School District</t>
  </si>
  <si>
    <t>Prescott School District</t>
  </si>
  <si>
    <t>Bellingham School District</t>
  </si>
  <si>
    <t>Ferndale School District</t>
  </si>
  <si>
    <t>Blaine School District</t>
  </si>
  <si>
    <t>Lynden School District</t>
  </si>
  <si>
    <t>Meridian School District</t>
  </si>
  <si>
    <t>Nooksack Valley School District</t>
  </si>
  <si>
    <t>Mount Baker School District</t>
  </si>
  <si>
    <t>Lummi Tribal Agency</t>
  </si>
  <si>
    <t>LaCrosse School District</t>
  </si>
  <si>
    <t>Lamont School District</t>
  </si>
  <si>
    <t>Tekoa School District</t>
  </si>
  <si>
    <t>Pullman School District</t>
  </si>
  <si>
    <t>Colfax School District</t>
  </si>
  <si>
    <t>Palouse School District</t>
  </si>
  <si>
    <t>Garfield School District</t>
  </si>
  <si>
    <t>Steptoe School District</t>
  </si>
  <si>
    <t>Colton School District</t>
  </si>
  <si>
    <t>Endicott School District</t>
  </si>
  <si>
    <t>Rosalia School District</t>
  </si>
  <si>
    <t>St. John School District</t>
  </si>
  <si>
    <t>Oakesdale School District</t>
  </si>
  <si>
    <t>Union Gap School District</t>
  </si>
  <si>
    <t>Naches Valley School District</t>
  </si>
  <si>
    <t>Yakima School District</t>
  </si>
  <si>
    <t>East Valley School District (Yakima)</t>
  </si>
  <si>
    <t>Selah School District</t>
  </si>
  <si>
    <t>Mabton School District</t>
  </si>
  <si>
    <t>Grandview School District</t>
  </si>
  <si>
    <t>Sunnyside School District</t>
  </si>
  <si>
    <t>Toppenish School District</t>
  </si>
  <si>
    <t>Highland School District</t>
  </si>
  <si>
    <t>Granger School District</t>
  </si>
  <si>
    <t>Zillah School District</t>
  </si>
  <si>
    <t>Wapato School District</t>
  </si>
  <si>
    <t>West Valley School District (Yakima)</t>
  </si>
  <si>
    <t>Mount Adams School District</t>
  </si>
  <si>
    <t>Yakama Nation Tribal Compact</t>
  </si>
  <si>
    <t>Pinnacles Prep</t>
  </si>
  <si>
    <t>Summit Public School: Sierra</t>
  </si>
  <si>
    <t>Rainier Prep Charter School District</t>
  </si>
  <si>
    <t xml:space="preserve">Rainier Valley Leadership Academy </t>
  </si>
  <si>
    <t>Impact | Puget Sound Elementary</t>
  </si>
  <si>
    <t>Impact | Salish Sea Elementary</t>
  </si>
  <si>
    <t>Catalyst Public Schools</t>
  </si>
  <si>
    <t>Impact | Commencement Bay Elementary</t>
  </si>
  <si>
    <t>Summit Public School: Olympus</t>
  </si>
  <si>
    <t>Spokane International Academy</t>
  </si>
  <si>
    <t>Lumen Public School</t>
  </si>
  <si>
    <t>Whatcom Intergenerational High School</t>
  </si>
  <si>
    <t>2020-21 FBRT</t>
  </si>
  <si>
    <t xml:space="preserve">2021-22 FBRT </t>
  </si>
  <si>
    <t>2021-22</t>
  </si>
  <si>
    <t>2021-22          PLD 34</t>
  </si>
  <si>
    <t>2019-20 FBRT</t>
  </si>
  <si>
    <t>Rev 4155 PD
LAP</t>
  </si>
  <si>
    <t>Rev 4165 PD
TBIP</t>
  </si>
  <si>
    <t>Rev 4174 PD
HiCap</t>
  </si>
  <si>
    <t>Rev 4121 PD
SpEd</t>
  </si>
  <si>
    <t>Rev 3100 PD
Gen Apport</t>
  </si>
  <si>
    <t>ACCRUAL DISTRCTS: AMOUNT TO RECORD IN GL 630 FOR POTENTIAL RECOVERY</t>
  </si>
  <si>
    <t>Orig F/B tool</t>
  </si>
  <si>
    <t>Another calc</t>
  </si>
  <si>
    <t>Carryover/ Recovery Tool</t>
  </si>
  <si>
    <t xml:space="preserve">Business Managers should enter values in the yellow cells provided in columns L &amp; M. This exercise is intended to split the Equity Accounts by sub-funds. </t>
  </si>
  <si>
    <r>
      <rPr>
        <b/>
        <sz val="10"/>
        <color theme="1"/>
        <rFont val="Calibri"/>
        <family val="2"/>
        <scheme val="minor"/>
      </rPr>
      <t>Activity 34:</t>
    </r>
    <r>
      <rPr>
        <sz val="10"/>
        <color theme="1"/>
        <rFont val="Calibri"/>
        <family val="2"/>
        <scheme val="minor"/>
      </rPr>
      <t xml:space="preserve"> RCW 43.09.2856: School district audits: (3) The use of the state allocation provided for professional learning under RCW 28A.150.415 must be audited as part of the regular financial audits of school districts by the state auditor's office to ensure compliance with the limitations and conditions of RCW 28A.150.415.</t>
    </r>
  </si>
  <si>
    <r>
      <t xml:space="preserve">In </t>
    </r>
    <r>
      <rPr>
        <b/>
        <sz val="11"/>
        <color theme="1"/>
        <rFont val="Calibri"/>
        <family val="2"/>
        <scheme val="minor"/>
      </rPr>
      <t>CELL C22</t>
    </r>
    <r>
      <rPr>
        <sz val="11"/>
        <color theme="1"/>
        <rFont val="Calibri"/>
        <family val="2"/>
        <scheme val="minor"/>
      </rPr>
      <t xml:space="preserve">, enter the total amount recorded as Credit Transfers in Object Code 1.  </t>
    </r>
    <r>
      <rPr>
        <b/>
        <sz val="11"/>
        <color theme="1"/>
        <rFont val="Calibri"/>
        <family val="2"/>
        <scheme val="minor"/>
      </rPr>
      <t>Enter it as a negative number</t>
    </r>
    <r>
      <rPr>
        <sz val="11"/>
        <color theme="1"/>
        <rFont val="Calibri"/>
        <family val="2"/>
        <scheme val="minor"/>
      </rPr>
      <t>.</t>
    </r>
  </si>
  <si>
    <t>Applied Indirect Expenditures *</t>
  </si>
  <si>
    <t>1191PLD</t>
  </si>
  <si>
    <t>GL 873 Committed to Depreciation Sub-Fund Facility Maintenance</t>
  </si>
  <si>
    <t>Total Amount reported in GL 873</t>
  </si>
  <si>
    <t xml:space="preserve">GL 873 Depreciation Sub-Fund Facility Maintenance </t>
  </si>
  <si>
    <t>GL 823 Restricted for Transition to Kindergarten</t>
  </si>
  <si>
    <t>GL 823 Restricted for Carryover of Transition to Kindergarten Revenues</t>
  </si>
  <si>
    <t>PINNACHLE PREP CHARTER</t>
  </si>
  <si>
    <t>IMPACT COMM BAY CHARTER</t>
  </si>
  <si>
    <t>IMPACT TACOMA</t>
  </si>
  <si>
    <t>Calculations on this sheet are intended to mirror the CNS 1800 Report for each district.</t>
  </si>
  <si>
    <t>TRN 4199 Total bfr Adjust</t>
  </si>
  <si>
    <t>Sort</t>
  </si>
  <si>
    <t>2021-22         PLD 34</t>
  </si>
  <si>
    <t xml:space="preserve">2022-23 FBRT </t>
  </si>
  <si>
    <t>2022-23       PLD 34</t>
  </si>
  <si>
    <t>22-23 PLD 34</t>
  </si>
  <si>
    <t>2022-23</t>
  </si>
  <si>
    <t>In cells D7:D11, enter the amount of food service-related revenues that your district received during the year (anything recorded in a XX98 Revenue Code) with the exception of 619811 Supply Chain Assistance which is prepopulated in cell F10.</t>
  </si>
  <si>
    <t>Paid Lunches (Revenue 2298) and (Revenue 2998)</t>
  </si>
  <si>
    <t>Washtucna</t>
  </si>
  <si>
    <t>Othello</t>
  </si>
  <si>
    <t>Lind</t>
  </si>
  <si>
    <t>Ritzville</t>
  </si>
  <si>
    <t>Clarkston</t>
  </si>
  <si>
    <t>Asotin-Anatone</t>
  </si>
  <si>
    <t>Kennewick</t>
  </si>
  <si>
    <t>Paterson</t>
  </si>
  <si>
    <t>Kiona Benton</t>
  </si>
  <si>
    <t>Finley</t>
  </si>
  <si>
    <t>Prosser</t>
  </si>
  <si>
    <t>Richland</t>
  </si>
  <si>
    <t>Manson</t>
  </si>
  <si>
    <t>Entiat</t>
  </si>
  <si>
    <t>Lake Chelan</t>
  </si>
  <si>
    <t>Cashmere</t>
  </si>
  <si>
    <t>Cascade</t>
  </si>
  <si>
    <t>Wenatchee</t>
  </si>
  <si>
    <t>Pinnacle Prep Charter</t>
  </si>
  <si>
    <t>Port Angeles</t>
  </si>
  <si>
    <t>Crescent</t>
  </si>
  <si>
    <t>Sequim</t>
  </si>
  <si>
    <t>Cape Flattery</t>
  </si>
  <si>
    <t>Quillayute Valley</t>
  </si>
  <si>
    <t>Vancouver</t>
  </si>
  <si>
    <t>Hockinson</t>
  </si>
  <si>
    <t>Lacenter</t>
  </si>
  <si>
    <t>Green Mountain</t>
  </si>
  <si>
    <t>Washougal</t>
  </si>
  <si>
    <t>Evergreen (Clark)</t>
  </si>
  <si>
    <t>Camas</t>
  </si>
  <si>
    <t>Battle Ground</t>
  </si>
  <si>
    <t>Ridgefield</t>
  </si>
  <si>
    <t>Dayton</t>
  </si>
  <si>
    <t>Starbuck</t>
  </si>
  <si>
    <t>Longview</t>
  </si>
  <si>
    <t>Castle Rock</t>
  </si>
  <si>
    <t>Kalama</t>
  </si>
  <si>
    <t>Woodland</t>
  </si>
  <si>
    <t>Kelso</t>
  </si>
  <si>
    <t>Orondo</t>
  </si>
  <si>
    <t>Bridgeport</t>
  </si>
  <si>
    <t>Palisades</t>
  </si>
  <si>
    <t>Eastmont</t>
  </si>
  <si>
    <t>Mansfield</t>
  </si>
  <si>
    <t>Waterville</t>
  </si>
  <si>
    <t>Keller</t>
  </si>
  <si>
    <t>Curlew</t>
  </si>
  <si>
    <t>Orient</t>
  </si>
  <si>
    <t>Inchelium</t>
  </si>
  <si>
    <t>Republic</t>
  </si>
  <si>
    <t>Pasco</t>
  </si>
  <si>
    <t>North Franklin</t>
  </si>
  <si>
    <t>Kahlotus</t>
  </si>
  <si>
    <t>Pomeroy</t>
  </si>
  <si>
    <t>Wahluke</t>
  </si>
  <si>
    <t>Quincy</t>
  </si>
  <si>
    <t>Warden</t>
  </si>
  <si>
    <t>Coulee/Hartline</t>
  </si>
  <si>
    <t>Soap Lake</t>
  </si>
  <si>
    <t>Royal</t>
  </si>
  <si>
    <t>Moses Lake</t>
  </si>
  <si>
    <t>Ephrata</t>
  </si>
  <si>
    <t>Wilson Creek</t>
  </si>
  <si>
    <t>Grand Coulee Dam</t>
  </si>
  <si>
    <t>Aberdeen</t>
  </si>
  <si>
    <t>Hoquiam</t>
  </si>
  <si>
    <t>North Beach</t>
  </si>
  <si>
    <t>Mc Cleary</t>
  </si>
  <si>
    <t>Montesano</t>
  </si>
  <si>
    <t>Elma</t>
  </si>
  <si>
    <t>Taholah</t>
  </si>
  <si>
    <t>Quinault</t>
  </si>
  <si>
    <t>Cosmopolis</t>
  </si>
  <si>
    <t>Satsop</t>
  </si>
  <si>
    <t>Wishkah Valley</t>
  </si>
  <si>
    <t>Ocosta</t>
  </si>
  <si>
    <t>Oakville</t>
  </si>
  <si>
    <t>Oak Harbor</t>
  </si>
  <si>
    <t>Coupeville</t>
  </si>
  <si>
    <t>South Whidbey</t>
  </si>
  <si>
    <t>Queets-Clearwater</t>
  </si>
  <si>
    <t>Brinnon</t>
  </si>
  <si>
    <t>Quilcene</t>
  </si>
  <si>
    <t>Chimacum</t>
  </si>
  <si>
    <t>Port Townsend</t>
  </si>
  <si>
    <t>Seattle</t>
  </si>
  <si>
    <t>Federal Way</t>
  </si>
  <si>
    <t>Enumclaw</t>
  </si>
  <si>
    <t>Mercer Island</t>
  </si>
  <si>
    <t>Highline</t>
  </si>
  <si>
    <t>Vashon Island</t>
  </si>
  <si>
    <t>Renton</t>
  </si>
  <si>
    <t>Skykomish</t>
  </si>
  <si>
    <t>Bellevue</t>
  </si>
  <si>
    <t>Tukwila</t>
  </si>
  <si>
    <t>Riverview</t>
  </si>
  <si>
    <t>Auburn</t>
  </si>
  <si>
    <t>Tahoma</t>
  </si>
  <si>
    <t>Snoqualmie Valley</t>
  </si>
  <si>
    <t>Issaquah</t>
  </si>
  <si>
    <t>Shoreline</t>
  </si>
  <si>
    <t>Lake Washington</t>
  </si>
  <si>
    <t>Kent</t>
  </si>
  <si>
    <t>Northshore</t>
  </si>
  <si>
    <t>Summit Atlas Charter</t>
  </si>
  <si>
    <t>Impact Salish Sea Charter</t>
  </si>
  <si>
    <t>Why Not You Charter</t>
  </si>
  <si>
    <t>Bremerton</t>
  </si>
  <si>
    <t>Bainbridge</t>
  </si>
  <si>
    <t>North Kitsap</t>
  </si>
  <si>
    <t>Central Kitsap</t>
  </si>
  <si>
    <t>South Kitsap</t>
  </si>
  <si>
    <t>Catalyst Charter</t>
  </si>
  <si>
    <t>Easton</t>
  </si>
  <si>
    <t>Thorp</t>
  </si>
  <si>
    <t>Ellensburg</t>
  </si>
  <si>
    <t>Kittitas</t>
  </si>
  <si>
    <t>Cle Elum-Roslyn</t>
  </si>
  <si>
    <t>Wishram</t>
  </si>
  <si>
    <t>Centerville</t>
  </si>
  <si>
    <t>Glenwood</t>
  </si>
  <si>
    <t>Klickitat</t>
  </si>
  <si>
    <t>Goldendale</t>
  </si>
  <si>
    <t>White Salmon</t>
  </si>
  <si>
    <t>Napavine</t>
  </si>
  <si>
    <t>Mossyrock</t>
  </si>
  <si>
    <t>Morton</t>
  </si>
  <si>
    <t>Adna</t>
  </si>
  <si>
    <t>Winlock</t>
  </si>
  <si>
    <t>Boistfort</t>
  </si>
  <si>
    <t>Toledo</t>
  </si>
  <si>
    <t>Onalaska</t>
  </si>
  <si>
    <t>Pe Ell</t>
  </si>
  <si>
    <t>Chehalis</t>
  </si>
  <si>
    <t>White Pass</t>
  </si>
  <si>
    <t>Centralia</t>
  </si>
  <si>
    <t>Sprague</t>
  </si>
  <si>
    <t>Reardan</t>
  </si>
  <si>
    <t>Almira</t>
  </si>
  <si>
    <t>Creston</t>
  </si>
  <si>
    <t>Odessa</t>
  </si>
  <si>
    <t>Wilbur</t>
  </si>
  <si>
    <t>Harrington</t>
  </si>
  <si>
    <t>Davenport</t>
  </si>
  <si>
    <t>Southside</t>
  </si>
  <si>
    <t>Grapeview</t>
  </si>
  <si>
    <t>Shelton</t>
  </si>
  <si>
    <t>Mary M Knight</t>
  </si>
  <si>
    <t>Pioneer</t>
  </si>
  <si>
    <t>North Mason</t>
  </si>
  <si>
    <t>Hood Canal</t>
  </si>
  <si>
    <t>Nespelem</t>
  </si>
  <si>
    <t>Omak</t>
  </si>
  <si>
    <t>Okanogan</t>
  </si>
  <si>
    <t>Brewster</t>
  </si>
  <si>
    <t>Pateros</t>
  </si>
  <si>
    <t>Methow Valley</t>
  </si>
  <si>
    <t>Tonasket</t>
  </si>
  <si>
    <t>Oroville</t>
  </si>
  <si>
    <t>Ocean Beach</t>
  </si>
  <si>
    <t>Raymond</t>
  </si>
  <si>
    <t>South Bend</t>
  </si>
  <si>
    <t>Naselle Grays Riv</t>
  </si>
  <si>
    <t>Willapa Valley</t>
  </si>
  <si>
    <t>North River</t>
  </si>
  <si>
    <t>Newport</t>
  </si>
  <si>
    <t>Cusick</t>
  </si>
  <si>
    <t>Selkirk</t>
  </si>
  <si>
    <t>Steilacoom Hist.</t>
  </si>
  <si>
    <t>Puyallup</t>
  </si>
  <si>
    <t>Tacoma</t>
  </si>
  <si>
    <t>Carbonado</t>
  </si>
  <si>
    <t>University Place</t>
  </si>
  <si>
    <t>Sumner</t>
  </si>
  <si>
    <t>Dieringer</t>
  </si>
  <si>
    <t>Orting</t>
  </si>
  <si>
    <t>Clover Park</t>
  </si>
  <si>
    <t>Peninsula</t>
  </si>
  <si>
    <t>Franklin Pierce</t>
  </si>
  <si>
    <t>Bethel</t>
  </si>
  <si>
    <t>Eatonville</t>
  </si>
  <si>
    <t>White River</t>
  </si>
  <si>
    <t>Fife</t>
  </si>
  <si>
    <t>Impact CB Charter</t>
  </si>
  <si>
    <t>Orcas</t>
  </si>
  <si>
    <t>Lopez</t>
  </si>
  <si>
    <t>San Juan</t>
  </si>
  <si>
    <t>Concrete</t>
  </si>
  <si>
    <t>Burlington Edison</t>
  </si>
  <si>
    <t>Sedro Woolley</t>
  </si>
  <si>
    <t>Anacortes</t>
  </si>
  <si>
    <t>La Conner</t>
  </si>
  <si>
    <t>Conway</t>
  </si>
  <si>
    <t>Mt Vernon</t>
  </si>
  <si>
    <t>Skamania</t>
  </si>
  <si>
    <t>Mill A</t>
  </si>
  <si>
    <t>Stevenson-Carson</t>
  </si>
  <si>
    <t>Everett</t>
  </si>
  <si>
    <t>Lake Stevens</t>
  </si>
  <si>
    <t>Mukilteo</t>
  </si>
  <si>
    <t>Edmonds</t>
  </si>
  <si>
    <t>Arlington</t>
  </si>
  <si>
    <t>Marysville</t>
  </si>
  <si>
    <t>Index</t>
  </si>
  <si>
    <t>Monroe</t>
  </si>
  <si>
    <t>Snohomish</t>
  </si>
  <si>
    <t>Lakewood</t>
  </si>
  <si>
    <t>Sultan</t>
  </si>
  <si>
    <t>Darrington</t>
  </si>
  <si>
    <t>Granite Falls</t>
  </si>
  <si>
    <t>Stanwood</t>
  </si>
  <si>
    <t>Spokane</t>
  </si>
  <si>
    <t>Great Northern</t>
  </si>
  <si>
    <t>Nine Mile Falls</t>
  </si>
  <si>
    <t>Medical Lake</t>
  </si>
  <si>
    <t>Mead</t>
  </si>
  <si>
    <t>Central Valley</t>
  </si>
  <si>
    <t>Freeman</t>
  </si>
  <si>
    <t>Cheney</t>
  </si>
  <si>
    <t>East Valley (Spok</t>
  </si>
  <si>
    <t>Liberty</t>
  </si>
  <si>
    <t>West Valley (Spok</t>
  </si>
  <si>
    <t>Deer Park</t>
  </si>
  <si>
    <t>Riverside</t>
  </si>
  <si>
    <t>Spokane Int'l Charter</t>
  </si>
  <si>
    <t>Lumen Charter</t>
  </si>
  <si>
    <t>Onion Creek</t>
  </si>
  <si>
    <t>Chewelah</t>
  </si>
  <si>
    <t>Wellpinit</t>
  </si>
  <si>
    <t>Valley</t>
  </si>
  <si>
    <t>Colville</t>
  </si>
  <si>
    <t>Loon Lake</t>
  </si>
  <si>
    <t>Summit Valley</t>
  </si>
  <si>
    <t>Evergreen (Stev)</t>
  </si>
  <si>
    <t>Columbia (Stev)</t>
  </si>
  <si>
    <t>Mary Walker</t>
  </si>
  <si>
    <t>Northport</t>
  </si>
  <si>
    <t>Kettle Falls</t>
  </si>
  <si>
    <t>Yelm</t>
  </si>
  <si>
    <t>North Thurston</t>
  </si>
  <si>
    <t>Tumwater</t>
  </si>
  <si>
    <t>Olympia</t>
  </si>
  <si>
    <t>Rainier</t>
  </si>
  <si>
    <t>Griffin</t>
  </si>
  <si>
    <t>Rochester</t>
  </si>
  <si>
    <t>Tenino</t>
  </si>
  <si>
    <t>Wa He Lut Tribal</t>
  </si>
  <si>
    <t>Wahkiakum</t>
  </si>
  <si>
    <t>Dixie</t>
  </si>
  <si>
    <t>Walla Walla</t>
  </si>
  <si>
    <t>College Place</t>
  </si>
  <si>
    <t>Touchet</t>
  </si>
  <si>
    <t>Columbia (Walla)</t>
  </si>
  <si>
    <t>Waitsburg</t>
  </si>
  <si>
    <t>Prescott</t>
  </si>
  <si>
    <t>Bellingham</t>
  </si>
  <si>
    <t>Ferndale</t>
  </si>
  <si>
    <t>Blaine</t>
  </si>
  <si>
    <t>Lynden</t>
  </si>
  <si>
    <t>Meridian</t>
  </si>
  <si>
    <t>Nooksack Valley</t>
  </si>
  <si>
    <t>Mount Baker</t>
  </si>
  <si>
    <t>Lamont</t>
  </si>
  <si>
    <t>Tekoa</t>
  </si>
  <si>
    <t>Pullman</t>
  </si>
  <si>
    <t>Colfax</t>
  </si>
  <si>
    <t>Palouse</t>
  </si>
  <si>
    <t>Garfield</t>
  </si>
  <si>
    <t>Colton</t>
  </si>
  <si>
    <t>Endicott</t>
  </si>
  <si>
    <t>Rosalia</t>
  </si>
  <si>
    <t>St John</t>
  </si>
  <si>
    <t>Union Gap</t>
  </si>
  <si>
    <t>Naches Valley</t>
  </si>
  <si>
    <t>Yakima</t>
  </si>
  <si>
    <t>East Valley (Yak)</t>
  </si>
  <si>
    <t>Selah</t>
  </si>
  <si>
    <t>Mabton</t>
  </si>
  <si>
    <t>Grandview</t>
  </si>
  <si>
    <t>Sunnyside</t>
  </si>
  <si>
    <t>Toppenish</t>
  </si>
  <si>
    <t>Highland</t>
  </si>
  <si>
    <t>Granger</t>
  </si>
  <si>
    <t>Zillah</t>
  </si>
  <si>
    <t>Wapato</t>
  </si>
  <si>
    <t>West Valley (Yak)</t>
  </si>
  <si>
    <t>Mount Adams</t>
  </si>
  <si>
    <t>Program Per Pupil Allocation</t>
  </si>
  <si>
    <t>If the annual expenditures are greater than Total Available resources, by category, then carryover equals zero.</t>
  </si>
  <si>
    <t>Prior Year Carryover: Beginning Balance GL 823</t>
  </si>
  <si>
    <t>Current Year Program Allocation State 4109</t>
  </si>
  <si>
    <t>Current Year Program Allocation Federal 6109</t>
  </si>
  <si>
    <t>Available Resources less Annual Expenditures</t>
  </si>
  <si>
    <t>Districts should input amounts into the green highlighted cells</t>
  </si>
  <si>
    <t>IMPACT BLACK RIVER</t>
  </si>
  <si>
    <t>17919</t>
  </si>
  <si>
    <t>PASCHAL SHERMAN</t>
  </si>
  <si>
    <t>24915</t>
  </si>
  <si>
    <t>ROOTED VANCOUVER</t>
  </si>
  <si>
    <t>06901</t>
  </si>
  <si>
    <t>2023-24</t>
  </si>
  <si>
    <t>Benge</t>
  </si>
  <si>
    <t>Stehekin</t>
  </si>
  <si>
    <t>Toutle Lake</t>
  </si>
  <si>
    <t>Star</t>
  </si>
  <si>
    <t>Muckleshoot Tribal</t>
  </si>
  <si>
    <t>Damman</t>
  </si>
  <si>
    <t>Bickleton</t>
  </si>
  <si>
    <t>Trout Lake</t>
  </si>
  <si>
    <t>Roosevelt</t>
  </si>
  <si>
    <t>Lyle</t>
  </si>
  <si>
    <t>Evaline</t>
  </si>
  <si>
    <t>Chief Leschi Tribal</t>
  </si>
  <si>
    <t>Shaw</t>
  </si>
  <si>
    <t>Mount Pleasant</t>
  </si>
  <si>
    <t>Orchard Prairie</t>
  </si>
  <si>
    <t>Lacrosse Joint</t>
  </si>
  <si>
    <t>Steptoe</t>
  </si>
  <si>
    <t>Oakesdale</t>
  </si>
  <si>
    <t>Pullman Mont Charter</t>
  </si>
  <si>
    <t>Yakama Nation Tribal</t>
  </si>
  <si>
    <t xml:space="preserve">2023-24 FBRT </t>
  </si>
  <si>
    <t>23-24 PLD 34</t>
  </si>
  <si>
    <t>2023-24       PLD 34</t>
  </si>
  <si>
    <t>17919 IMPACT BLACK RIVER CHARTER</t>
  </si>
  <si>
    <t>24915 PASCHAL SHERMAN SCHOOL DISTRICT</t>
  </si>
  <si>
    <t>06901 ROOTED VANCOUVER SCHOOL DISTRICT</t>
  </si>
  <si>
    <t>GL 823 Restricted for Carryover of Transition to Kindergarten Resources</t>
  </si>
  <si>
    <t>TTK Totals</t>
  </si>
  <si>
    <t>A</t>
  </si>
  <si>
    <t>P.Y. Carryover:  Beginning Balance GL 823</t>
  </si>
  <si>
    <t>Σ Row A</t>
  </si>
  <si>
    <t>B</t>
  </si>
  <si>
    <t>1191 TK</t>
  </si>
  <si>
    <t>P.Y. 1191 TK</t>
  </si>
  <si>
    <t>C</t>
  </si>
  <si>
    <t>D</t>
  </si>
  <si>
    <t>= (B * C)</t>
  </si>
  <si>
    <t>Σ Row D</t>
  </si>
  <si>
    <t>E</t>
  </si>
  <si>
    <t>Σ Row E</t>
  </si>
  <si>
    <t>F</t>
  </si>
  <si>
    <t>Σ Row F</t>
  </si>
  <si>
    <t>G</t>
  </si>
  <si>
    <t>A+E+F</t>
  </si>
  <si>
    <t>A+D</t>
  </si>
  <si>
    <t>Σ Row G</t>
  </si>
  <si>
    <t>H</t>
  </si>
  <si>
    <t>I</t>
  </si>
  <si>
    <t>J</t>
  </si>
  <si>
    <t>Resources less Annual Expenditures</t>
  </si>
  <si>
    <t>G - H</t>
  </si>
  <si>
    <t>G – I</t>
  </si>
  <si>
    <t>If  ROW J is a negative number, then Carryover equals zero</t>
  </si>
  <si>
    <t>K</t>
  </si>
  <si>
    <t>=if (+J &gt; 0)</t>
  </si>
  <si>
    <t>Σ Row K</t>
  </si>
  <si>
    <t>Districts enter amounts in the GREEN highlighted cells.</t>
  </si>
  <si>
    <t>Illustration: where to find district-specific data.</t>
  </si>
  <si>
    <t>Σ Rows H + I</t>
  </si>
  <si>
    <t>1251H TBIP</t>
  </si>
  <si>
    <t>Direct Expenditures in Program 09 (Sub-Fund 1)</t>
  </si>
  <si>
    <t>Prog 09: All Sub-Fund 1</t>
  </si>
  <si>
    <t>Program 09 - TK</t>
  </si>
  <si>
    <t>TK in Prog 55 LAP</t>
  </si>
  <si>
    <t>TK in Prog 55 LAP HP</t>
  </si>
  <si>
    <t>TK in Prog 65 TBIP</t>
  </si>
  <si>
    <t>Current Year TK FTE, by Program</t>
  </si>
  <si>
    <t>Available TK Resources by Program</t>
  </si>
  <si>
    <t>TK Expenditures included in Programs 55 &amp; 65:</t>
  </si>
  <si>
    <t>TK TOTAL</t>
  </si>
  <si>
    <t>Total TK Expenditures</t>
  </si>
  <si>
    <t>State Resources in Programs 55 &amp; 65 for TK</t>
  </si>
  <si>
    <t>NOTE:  The federal expenditures incurred  (using Revenue 6109 Resources) are required to be reported on the SEFA.</t>
  </si>
  <si>
    <t>Only for use by Second Class Districts with fewer than 2000 students</t>
  </si>
  <si>
    <t>Loan-Deficits and Balance Forwards for the last four years.</t>
  </si>
  <si>
    <t>prior year loan-deficits and balance carryforward amounts</t>
  </si>
  <si>
    <t>check figure</t>
  </si>
  <si>
    <t>New totals</t>
  </si>
  <si>
    <r>
      <t xml:space="preserve">Annual amounts identified as </t>
    </r>
    <r>
      <rPr>
        <b/>
        <u/>
        <sz val="11"/>
        <color theme="1"/>
        <rFont val="Calibri"/>
        <family val="2"/>
        <scheme val="minor"/>
      </rPr>
      <t>deficits are considered loans</t>
    </r>
    <r>
      <rPr>
        <sz val="11"/>
        <color theme="1"/>
        <rFont val="Calibri"/>
        <family val="2"/>
        <scheme val="minor"/>
      </rPr>
      <t xml:space="preserve"> of the General Fund's other non-federal resources to support the FSA. Annual Income and Prior Year net balance carryover funds are carried over indefinitely until used in subsequent fiscal periods or can be used to pay back the prior year loan of the General Fund's non-federal resources. Prior Year loan-deficits are carried over for</t>
    </r>
    <r>
      <rPr>
        <b/>
        <sz val="14"/>
        <color rgb="FFC00000"/>
        <rFont val="Calibri"/>
        <family val="2"/>
        <scheme val="minor"/>
      </rPr>
      <t xml:space="preserve"> </t>
    </r>
    <r>
      <rPr>
        <sz val="11"/>
        <rFont val="Calibri"/>
        <family val="2"/>
        <scheme val="minor"/>
      </rPr>
      <t>a maximum of five years.</t>
    </r>
    <r>
      <rPr>
        <sz val="11"/>
        <color theme="1"/>
        <rFont val="Calibri"/>
        <family val="2"/>
        <scheme val="minor"/>
      </rPr>
      <t xml:space="preserve"> </t>
    </r>
  </si>
  <si>
    <t>OrganizationName</t>
  </si>
  <si>
    <t>4155hppd
Total LAP HiPov PD</t>
  </si>
  <si>
    <t>STATE SUMMARY</t>
  </si>
  <si>
    <t>Rooted School Vancouver</t>
  </si>
  <si>
    <t>Why Not You Academy (formerly Cascade: Midway charter)</t>
  </si>
  <si>
    <t>Impact | Black River Elementary</t>
  </si>
  <si>
    <t xml:space="preserve">Nespelem School District  </t>
  </si>
  <si>
    <t>Paschal Sherman Indian School</t>
  </si>
  <si>
    <t>Sumner-Bonney Lake School District</t>
  </si>
  <si>
    <t>2024-25 FBRT</t>
  </si>
  <si>
    <t>24-25 PLD 34</t>
  </si>
  <si>
    <t>2024-25      PLD 34</t>
  </si>
  <si>
    <t>Different ways to calculate CTE</t>
  </si>
  <si>
    <t>ESD</t>
  </si>
  <si>
    <t>101</t>
  </si>
  <si>
    <t>123</t>
  </si>
  <si>
    <t>171</t>
  </si>
  <si>
    <t>900</t>
  </si>
  <si>
    <t>114</t>
  </si>
  <si>
    <t>112</t>
  </si>
  <si>
    <t>105</t>
  </si>
  <si>
    <t>113</t>
  </si>
  <si>
    <t>189</t>
  </si>
  <si>
    <t>121</t>
  </si>
  <si>
    <t>August Allocations</t>
  </si>
  <si>
    <t>Current Year TK Carryover, BY PROGRAM</t>
  </si>
  <si>
    <t>GL 823 Restricted Carryover for Program 09</t>
  </si>
  <si>
    <t>TK carryover related to LAP or TBIP should be included in GL 821, if any.</t>
  </si>
  <si>
    <t>C.Y Carryover by Program:</t>
  </si>
  <si>
    <t>Carryover: Program 09 Restricted Fund Balance for GL 823 — ONLY</t>
  </si>
  <si>
    <t>Expenditures (Source/Use Code 8)</t>
  </si>
  <si>
    <t>INDIRECT COST LIMITS AND RECOVERIES</t>
  </si>
  <si>
    <t>Alpha</t>
  </si>
  <si>
    <t>sort</t>
  </si>
  <si>
    <t>OSPI</t>
  </si>
  <si>
    <t>Statewide Average</t>
  </si>
  <si>
    <t>Impact Renton Charter</t>
  </si>
  <si>
    <t>Impact Charter</t>
  </si>
  <si>
    <t>Paschal Sherman Tribal</t>
  </si>
  <si>
    <t>Rainer Valley Leadership Academy</t>
  </si>
  <si>
    <t>909</t>
  </si>
  <si>
    <t>Rooted Charter</t>
  </si>
  <si>
    <t>Suquamish Tribal</t>
  </si>
  <si>
    <t>Whatcom Interg'l Charter</t>
  </si>
  <si>
    <t>2024-25</t>
  </si>
  <si>
    <t xml:space="preserve">Paschal Sherman </t>
  </si>
  <si>
    <t>to come off</t>
  </si>
  <si>
    <t xml:space="preserve">three year </t>
  </si>
  <si>
    <t>Federal Payment (Revenue 6X98 except 6998)</t>
  </si>
  <si>
    <t xml:space="preserve">Food - Supplies </t>
  </si>
  <si>
    <t>MOVE PRIOR FISCAL YEAR INFORMATION HERE:</t>
  </si>
  <si>
    <t>The last fiscal year data is netted against the three subsequent years (unless the negative amount has nothing to net against.)</t>
  </si>
  <si>
    <t>18303 BAINBRIDGE SCHOOL DISTRICT</t>
  </si>
  <si>
    <t>29100 BURLINGTON EDISON SCHOOL DISTRICT</t>
  </si>
  <si>
    <t>18901 CATALYST PUBLIC SCHOOLS CHARTER</t>
  </si>
  <si>
    <t>36400 COLUMBIA (WALLA) SCHOOL DISTRICT</t>
  </si>
  <si>
    <t>13151 COULEE/HARTLINE SCHOOL DISTRICT</t>
  </si>
  <si>
    <t>32361 EAST VALLEY SCHOOL DISTRICT</t>
  </si>
  <si>
    <t>39090 EAST VALLEY (YAKIMA) SCHOOL DISTRICT</t>
  </si>
  <si>
    <t>34801 CAPITAL REGION ESD 113</t>
  </si>
  <si>
    <t>18801 OLYMPIC ESD 114</t>
  </si>
  <si>
    <t>17801 PUGET SOUND ESD 121</t>
  </si>
  <si>
    <t>29801 NORTHWEST ESD 189</t>
  </si>
  <si>
    <t>06114 EVERGREEN (CLARK) SCHOOL DISTRICT</t>
  </si>
  <si>
    <t>33205 EVERGREEN (STEVENS) SCHOOL DISTRICT</t>
  </si>
  <si>
    <t>17911 IMPACT PUGET SOUND CHARTER</t>
  </si>
  <si>
    <t>17916 IMPACT SALISH SEA CHARTER</t>
  </si>
  <si>
    <t>27902 IMPACT TACOMA CHARTER</t>
  </si>
  <si>
    <t>03052 KIONA BENTON SCHOOL DISTRICT</t>
  </si>
  <si>
    <t>06101 LACENTER SCHOOL DISTRICT</t>
  </si>
  <si>
    <t>38126 LACROSSE JOINT SCHOOL DISTRICT</t>
  </si>
  <si>
    <t>32903 LUMEN CHARTER</t>
  </si>
  <si>
    <t>37903 LUMMI TRIBAL COMPACT</t>
  </si>
  <si>
    <t>14065 MC CLEARY SCHOOL DISTRICT</t>
  </si>
  <si>
    <t>29320 MT VERNON SCHOOL DISTRICT</t>
  </si>
  <si>
    <t>17903 MUCKLESHOOT TRIBAL COMPACT</t>
  </si>
  <si>
    <t>25155 NASELLE GRAYS RIVER SCHOOL DISTRICT</t>
  </si>
  <si>
    <t>34003 NORTH THURSTON SCHOOL DISTRICT</t>
  </si>
  <si>
    <t>28137 ORCAS SCHOOL DISTRICT</t>
  </si>
  <si>
    <t>32907 PRIDE PREP SCHOOL DISTRICT</t>
  </si>
  <si>
    <t>05903 QUILEUTE TRIBAL COMPACT</t>
  </si>
  <si>
    <t>14097 QUINAULT SCHOOL DISTRICT</t>
  </si>
  <si>
    <t>17908 RAINIER PREP CHARTER</t>
  </si>
  <si>
    <t>17910 RAINIER VALLEY LEADERSHIP ACADEMY CHARTER</t>
  </si>
  <si>
    <t>22009 REARDAN SCHOOL DISTRICT</t>
  </si>
  <si>
    <t>28149 SAN JUAN SCHOOL DISTRICT</t>
  </si>
  <si>
    <t>17001 SEATTLE SCHOOL DISTRICT</t>
  </si>
  <si>
    <t>29101 SEDRO WOOLLEY SCHOOL DISTRICT</t>
  </si>
  <si>
    <t>28010 SHAW SCHOOL DISTRICT</t>
  </si>
  <si>
    <t>32901 SPOKANE INT'L CHARTER</t>
  </si>
  <si>
    <t>38322 ST JOHN SCHOOL DISTRICT</t>
  </si>
  <si>
    <t>31401 STANWOOD SCHOOL DISTRICT</t>
  </si>
  <si>
    <t>11054 STAR SCHOOL DISTRICT</t>
  </si>
  <si>
    <t>17905 SUMMIT: ATLAS CHARTER</t>
  </si>
  <si>
    <t>27905 SUMMIT: OLYMPUS CHARTER</t>
  </si>
  <si>
    <t>17902 SUMMIT: SIERRA CHARTER</t>
  </si>
  <si>
    <t>18902 SUQUAMISH TRIBAL COMPACT</t>
  </si>
  <si>
    <t>34901 WA HE LUT TRIBAL COMPACT</t>
  </si>
  <si>
    <t>36140 WALLA WALLA SCHOOL DISTRICT</t>
  </si>
  <si>
    <t>32363 WEST VALLEY (SPOKANE) SCHOOL DISTRICT</t>
  </si>
  <si>
    <t>39208 WEST VALLEY (YAKIMA) SCHOOL DISTRICT</t>
  </si>
  <si>
    <t>20405 WHITE SALMON SCHOOL DISTRICT</t>
  </si>
  <si>
    <t>39901 YAKAMA SCHOOL DISTRICT</t>
  </si>
  <si>
    <t>Lopez Island School District</t>
  </si>
  <si>
    <t>25-26 PLD 34</t>
  </si>
  <si>
    <t>2025-26     PLD 34</t>
  </si>
  <si>
    <t>2025-26 FBRT</t>
  </si>
  <si>
    <t>Cashmere School District</t>
  </si>
  <si>
    <t>Star School District</t>
  </si>
  <si>
    <t>Why Not You Academy (fmr: Cascade–Midway)</t>
  </si>
  <si>
    <t>Lopez School District</t>
  </si>
  <si>
    <t>Innovation Spokane Charter School</t>
  </si>
  <si>
    <t>It is netted against subequent years (unless there is no offsets).</t>
  </si>
  <si>
    <t>Report 1800 A</t>
  </si>
  <si>
    <t>Public Schools Operating USDA Meal Programs</t>
  </si>
  <si>
    <t>Revenues and Expenditures</t>
  </si>
  <si>
    <t>Public School Name</t>
  </si>
  <si>
    <t>Food</t>
  </si>
  <si>
    <t>Labor</t>
  </si>
  <si>
    <t>Expenditures Supplies</t>
  </si>
  <si>
    <t>Other</t>
  </si>
  <si>
    <t>Indirect</t>
  </si>
  <si>
    <t>Total Expd w/o Indirects</t>
  </si>
  <si>
    <t>Revenues Less Expenditures</t>
  </si>
  <si>
    <t>Quileute Tribal School</t>
  </si>
  <si>
    <t>Total Carryover</t>
  </si>
  <si>
    <t>Total Recovery</t>
  </si>
  <si>
    <t>To Prog 31</t>
  </si>
  <si>
    <t>To Prog 34</t>
  </si>
  <si>
    <t>CTE Programs 31 &amp; 34 Combined Carryover and Recovery Amounts. Districts apply percentages on how Carryover and Recovery is applied to programs for next year. The Σ in each section should equal 100%. Percentages are included in the F-196.</t>
  </si>
  <si>
    <t>Σ = 100%</t>
  </si>
  <si>
    <t>Transfer to CPF</t>
  </si>
  <si>
    <r>
      <rPr>
        <b/>
        <sz val="11"/>
        <color theme="1"/>
        <rFont val="Calibri"/>
        <family val="2"/>
        <scheme val="minor"/>
      </rPr>
      <t>REVENUE 5329 IMPACT AID Section 7003(d)</t>
    </r>
    <r>
      <rPr>
        <sz val="11"/>
        <color theme="1"/>
        <rFont val="Calibri"/>
        <family val="2"/>
        <scheme val="minor"/>
      </rPr>
      <t>: Payments for Children with Disabilities provide additional assistance to school districts that educate federally connected children who are eligible for services under the Individuals with Disabilities Act (IDEA). These awards are in addition to Basic Support Payments and IDEA resources provided on behalf of these children. A school district that receives these specific Impact Aid resources MUST use them for the increased costs of educating federally connected children with disabilities.</t>
    </r>
  </si>
  <si>
    <t>TK—FTE identified as Special Education is part of the 3-5 preschool group. TK resource allocated to Special Education are identified as state resources and not included in the GL 823 equity account.  RCWs: 28A.150.220; 28A.155.020; 28A155.070</t>
  </si>
  <si>
    <t>Paul.Stone@k12.wa.us.</t>
  </si>
  <si>
    <t>For more information, please contact Paul Stone, Supervisor of School District Account, by email at:</t>
  </si>
  <si>
    <r>
      <rPr>
        <b/>
        <sz val="12"/>
        <color theme="1"/>
        <rFont val="Calibri"/>
        <family val="2"/>
        <scheme val="minor"/>
      </rPr>
      <t>Line 7 will calculate</t>
    </r>
    <r>
      <rPr>
        <sz val="12"/>
        <color theme="1"/>
        <rFont val="Calibri"/>
        <family val="2"/>
        <scheme val="minor"/>
      </rPr>
      <t xml:space="preserve"> the total Fund Balance available for each fund.</t>
    </r>
  </si>
  <si>
    <t>The use of this tool is optional. However, Fund Balance equity must be categorized by classifications required by GASB Statement 54 and the Accounting Manual.</t>
  </si>
  <si>
    <r>
      <t>In Column A, the GL account numbers and names are</t>
    </r>
    <r>
      <rPr>
        <sz val="12"/>
        <color rgb="FF0000FF"/>
        <rFont val="Calibri"/>
        <family val="2"/>
        <scheme val="minor"/>
      </rPr>
      <t xml:space="preserve"> </t>
    </r>
    <r>
      <rPr>
        <b/>
        <u/>
        <sz val="12"/>
        <color rgb="FF0000FF"/>
        <rFont val="Calibri"/>
        <family val="2"/>
        <scheme val="minor"/>
      </rPr>
      <t>hyperlinked</t>
    </r>
    <r>
      <rPr>
        <sz val="12"/>
        <color theme="1"/>
        <rFont val="Calibri"/>
        <family val="2"/>
        <scheme val="minor"/>
      </rPr>
      <t xml:space="preserve"> to the appropriate sheets. Click on the name to go to that sheet.</t>
    </r>
  </si>
  <si>
    <r>
      <rPr>
        <b/>
        <u/>
        <sz val="14"/>
        <color theme="1"/>
        <rFont val="Segoe UI"/>
        <family val="2"/>
      </rPr>
      <t>GENERAL FUND EQUITY ACCOUNTS, BY SUB-FUND</t>
    </r>
    <r>
      <rPr>
        <b/>
        <sz val="14"/>
        <color theme="1"/>
        <rFont val="Segoe UI"/>
        <family val="2"/>
      </rPr>
      <t xml:space="preserve">: </t>
    </r>
    <r>
      <rPr>
        <sz val="14"/>
        <color theme="1"/>
        <rFont val="Segoe UI"/>
        <family val="2"/>
      </rPr>
      <t xml:space="preserve">Districts are encouraged to track Fund Balance Equity by Sub-Fund. In the </t>
    </r>
    <r>
      <rPr>
        <b/>
        <sz val="14"/>
        <color rgb="FFC00000"/>
        <rFont val="Segoe UI"/>
        <family val="2"/>
      </rPr>
      <t xml:space="preserve">yellow </t>
    </r>
    <r>
      <rPr>
        <sz val="14"/>
        <color theme="1"/>
        <rFont val="Segoe UI"/>
        <family val="2"/>
      </rPr>
      <t xml:space="preserve">cells provided in </t>
    </r>
    <r>
      <rPr>
        <b/>
        <sz val="14"/>
        <color rgb="FFC00000"/>
        <rFont val="Segoe UI"/>
        <family val="2"/>
      </rPr>
      <t>columns L &amp; M</t>
    </r>
    <r>
      <rPr>
        <sz val="14"/>
        <color theme="1"/>
        <rFont val="Segoe UI"/>
        <family val="2"/>
      </rPr>
      <t xml:space="preserve">, enter values, segregated by Sub-Fund, associated with the corresponding General Ledger account values in column B. Columns L &amp; M are added together in column N. Column O compares column N to Column B.  </t>
    </r>
    <r>
      <rPr>
        <b/>
        <sz val="14"/>
        <color theme="1"/>
        <rFont val="Segoe UI"/>
        <family val="2"/>
      </rPr>
      <t xml:space="preserve">The amounts calculated in columns L &amp; M, at Row 57, are intended to represent your </t>
    </r>
    <r>
      <rPr>
        <b/>
        <sz val="14"/>
        <color rgb="FFC00000"/>
        <rFont val="Segoe UI"/>
        <family val="2"/>
      </rPr>
      <t>ENDING</t>
    </r>
    <r>
      <rPr>
        <b/>
        <sz val="14"/>
        <color theme="1"/>
        <rFont val="Segoe UI"/>
        <family val="2"/>
      </rPr>
      <t xml:space="preserve"> Fund Balance, by Sub-Fund. This worksheet, and supporting work-tabs, can be used to support amounts provided in the supplemental F-196 report: Fund Balance, by Sub-Fund.</t>
    </r>
  </si>
  <si>
    <t xml:space="preserve">The amounts calculated in Columns L &amp; M at Row 57 represent the General Fund ending Fund Balance, by Sub-Fund. This worksheet can be used to support amounts provided in the supplemental F-196 report: Fund Balance by Sub-Fund. </t>
  </si>
  <si>
    <t>GL 868 CTE Carryover/Redirection Proceeds</t>
  </si>
  <si>
    <r>
      <rPr>
        <b/>
        <u/>
        <sz val="11"/>
        <color theme="1"/>
        <rFont val="Calibri"/>
        <family val="2"/>
        <scheme val="minor"/>
      </rPr>
      <t>Annual Addition</t>
    </r>
    <r>
      <rPr>
        <sz val="11"/>
        <color theme="1"/>
        <rFont val="Calibri"/>
        <family val="2"/>
        <scheme val="minor"/>
      </rPr>
      <t>: CTE Program Carryover Transferred from the General Fund (Source/Use Code 8)</t>
    </r>
  </si>
  <si>
    <t>GL 868 Restricted from CTE Carryover Resources</t>
  </si>
  <si>
    <t>Districts may not need to utilize every General Ledger Account Code presented here. If a particular GL code does not apply to your district, you are not required to use it.</t>
  </si>
  <si>
    <r>
      <t xml:space="preserve">The </t>
    </r>
    <r>
      <rPr>
        <b/>
        <u/>
        <sz val="12"/>
        <color theme="1"/>
        <rFont val="Calibri"/>
        <family val="2"/>
        <scheme val="minor"/>
      </rPr>
      <t>Fund Balance Summary</t>
    </r>
    <r>
      <rPr>
        <sz val="12"/>
        <color theme="1"/>
        <rFont val="Calibri"/>
        <family val="2"/>
        <scheme val="minor"/>
      </rPr>
      <t xml:space="preserve"> worksheet summarizes all the behind-the-scenes data entered on the other sheets.</t>
    </r>
  </si>
  <si>
    <r>
      <t>In the large yellow cell [</t>
    </r>
    <r>
      <rPr>
        <b/>
        <sz val="14"/>
        <color theme="1"/>
        <rFont val="Calibri"/>
        <family val="2"/>
        <scheme val="minor"/>
      </rPr>
      <t>A-B2</t>
    </r>
    <r>
      <rPr>
        <sz val="12"/>
        <color theme="1"/>
        <rFont val="Calibri"/>
        <family val="2"/>
        <scheme val="minor"/>
      </rPr>
      <t xml:space="preserve">], a drop-down list of district names appears in alphabetical order. </t>
    </r>
  </si>
  <si>
    <r>
      <t xml:space="preserve">General Fund Only, </t>
    </r>
    <r>
      <rPr>
        <b/>
        <sz val="11"/>
        <color rgb="FFC00000"/>
        <rFont val="Calibri"/>
        <family val="2"/>
        <scheme val="minor"/>
      </rPr>
      <t>Cash Basis Districts Only</t>
    </r>
  </si>
  <si>
    <t>Program 45</t>
  </si>
  <si>
    <t>Program 46</t>
  </si>
  <si>
    <t>Program 47</t>
  </si>
  <si>
    <t>General Fund, Programs 45, 46, &amp; 47</t>
  </si>
  <si>
    <t>Expenditures by Programs: 45, 46, &amp; 47</t>
  </si>
  <si>
    <t>Professional Learning-State (Activity 34)</t>
  </si>
  <si>
    <t>Pupil Safety (Activity 35)</t>
  </si>
  <si>
    <t>Pupil Management (Activity 25)</t>
  </si>
  <si>
    <t>Annual Program Activity: Net Resources or (Deficiency), by Program</t>
  </si>
  <si>
    <t>Beginning Restricted Fund Balance in the CPF:</t>
  </si>
  <si>
    <t xml:space="preserve">Ending Restricted Fund Balance in the General Fund: </t>
  </si>
  <si>
    <t>Beginning Restricted Fund Balance in the General Fund</t>
  </si>
  <si>
    <t>Ending Restricted Fund Balance in the CPF:</t>
  </si>
  <si>
    <t>Restricted Fund Balance cannot be less than zero.</t>
  </si>
  <si>
    <t xml:space="preserve">GL 825 Restricted for Skills Center </t>
  </si>
  <si>
    <t xml:space="preserve">This Account is used by districts that are the host district and fiscal agent for a </t>
  </si>
  <si>
    <t>General Fund, Capital Project: Skills Center Host Districts or Branch Campuses only.</t>
  </si>
  <si>
    <t>career and technical education skills center to separate the resources belonging to the skills</t>
  </si>
  <si>
    <t>center from those of the school district.</t>
  </si>
  <si>
    <t xml:space="preserve">In the General Fund, this GL Account is used to record the excess of skills center resources </t>
  </si>
  <si>
    <t xml:space="preserve">over related expenditures. The resources are restricted to pay for skills center programs and </t>
  </si>
  <si>
    <t>are not available to be used for general expenditures of the district.</t>
  </si>
  <si>
    <t xml:space="preserve">In the Capital Projects Fund, this GL Account is used to record amounts the host district has </t>
  </si>
  <si>
    <t xml:space="preserve">collected for the purpose of covering capital expenditures for the skills center. It is equal </t>
  </si>
  <si>
    <t xml:space="preserve">to the excess of resources received, including payments from participating districts or </t>
  </si>
  <si>
    <t xml:space="preserve">grant awards, over related capital expenditures. </t>
  </si>
  <si>
    <t>Instructions</t>
  </si>
  <si>
    <t>If the district has a prior year restricted fund balance, place the prior year amounts in the</t>
  </si>
  <si>
    <t>For the Capital Projects Fund use cell [ E48 ]</t>
  </si>
  <si>
    <t xml:space="preserve">For General Fund Programs 45, 46, &amp; 47, cell range [ A8 : D39 ], enter resources received for </t>
  </si>
  <si>
    <t>the skills center in the appropriate category beginning with general fund apportionment</t>
  </si>
  <si>
    <t>in cell [ B9 ]. Enter expenditures in the corresponding program columns, by Activity Code.</t>
  </si>
  <si>
    <t xml:space="preserve">In the Capital Projects Fund, cell range [ A47 : E51 ], enter amounts received for capital  </t>
  </si>
  <si>
    <t xml:space="preserve">improvement and amounts expended in the appropriate cells. </t>
  </si>
  <si>
    <t>Old Instructions…</t>
  </si>
  <si>
    <t xml:space="preserve">appropriate cells.  For the General Fund use cells [ B6, C6, and/or D6 ]. </t>
  </si>
  <si>
    <t>2024-25              PLD 34</t>
  </si>
  <si>
    <t>CTE Prog 31</t>
  </si>
  <si>
    <t>CTE Prog 34</t>
  </si>
  <si>
    <t>Skill Ctr Prog 45</t>
  </si>
  <si>
    <t>TK Prog 09</t>
  </si>
  <si>
    <t>Manual Revision</t>
  </si>
  <si>
    <t>FY 2025–2026</t>
  </si>
  <si>
    <t>Load 2024-25 Data here</t>
  </si>
  <si>
    <t>24-25</t>
  </si>
  <si>
    <t>Burlington - Edison School District</t>
  </si>
  <si>
    <t>Chief Leschi School</t>
  </si>
  <si>
    <t>Columbia School District-Stevens</t>
  </si>
  <si>
    <t>Columbia School District-Walla Walla</t>
  </si>
  <si>
    <t>East Valley School District - Spokane</t>
  </si>
  <si>
    <t>East Valley School District - Yakima</t>
  </si>
  <si>
    <t>Everett School  District</t>
  </si>
  <si>
    <t>Evergreen School District - Clark</t>
  </si>
  <si>
    <t>Evergreen School District - Stevens</t>
  </si>
  <si>
    <t>Great Northern School District 312</t>
  </si>
  <si>
    <t>Hockinson School District**</t>
  </si>
  <si>
    <t>Impact | Public Schools</t>
  </si>
  <si>
    <t>Innov Spok - PRIDE Prep Schools</t>
  </si>
  <si>
    <t>Lacenter School District</t>
  </si>
  <si>
    <t>Mabton School District**</t>
  </si>
  <si>
    <t>Monroe Public Schools</t>
  </si>
  <si>
    <t>Nespelem School District</t>
  </si>
  <si>
    <t>North Thurston School District</t>
  </si>
  <si>
    <t>Pinnacles Prep Charter School</t>
  </si>
  <si>
    <t>Queets Clearwater School District</t>
  </si>
  <si>
    <t>Quinault School District</t>
  </si>
  <si>
    <t>Rainier Prep</t>
  </si>
  <si>
    <t>RVLA Rainier Valley Leadership Academy **</t>
  </si>
  <si>
    <t>Seattle School District</t>
  </si>
  <si>
    <t>St John School District</t>
  </si>
  <si>
    <t>Stanwood School District</t>
  </si>
  <si>
    <t>Starbuck School District #35</t>
  </si>
  <si>
    <t>Steilacoom Historical School District</t>
  </si>
  <si>
    <t>Stevenson Carson School District</t>
  </si>
  <si>
    <t>Summit Public Schools - Atlas</t>
  </si>
  <si>
    <t>Summit Public Schools - Olympus</t>
  </si>
  <si>
    <t>Summit Public Schools - Sierra</t>
  </si>
  <si>
    <t>Sumner-Bonney Lake  School District</t>
  </si>
  <si>
    <t>Walla Walla School District</t>
  </si>
  <si>
    <t>West Valley School District-Spokane</t>
  </si>
  <si>
    <t>West Valley School District-Yakima</t>
  </si>
  <si>
    <t>Whatcom Int'g Charter</t>
  </si>
  <si>
    <t>Why Not You -Cascade Public School**</t>
  </si>
  <si>
    <t>Innovation  Spokane</t>
  </si>
  <si>
    <t>New 2021 thru 2023-24 amount with 2020 netted</t>
  </si>
  <si>
    <t>w/ 24-25</t>
  </si>
  <si>
    <t>24-25 FSMC 1505</t>
  </si>
  <si>
    <r>
      <t>FY</t>
    </r>
    <r>
      <rPr>
        <b/>
        <sz val="11"/>
        <color theme="1"/>
        <rFont val="Calibri"/>
        <family val="2"/>
        <scheme val="minor"/>
      </rPr>
      <t xml:space="preserve"> 2025-2026</t>
    </r>
    <r>
      <rPr>
        <sz val="11"/>
        <color theme="1"/>
        <rFont val="Calibri"/>
        <family val="2"/>
        <scheme val="minor"/>
      </rPr>
      <t xml:space="preserve"> Federal Indirect Rates and State Recovery Rates</t>
    </r>
  </si>
  <si>
    <t>IMPACT BLACK RIVER CHARTER</t>
  </si>
  <si>
    <r>
      <t xml:space="preserve">The Indirect Rates used for the </t>
    </r>
    <r>
      <rPr>
        <b/>
        <sz val="11"/>
        <color theme="1"/>
        <rFont val="Calibri"/>
        <family val="2"/>
        <scheme val="minor"/>
      </rPr>
      <t>2025-2026 Financials are from 2023-24</t>
    </r>
  </si>
  <si>
    <t>INNOVATION SPOKANE</t>
  </si>
  <si>
    <t>Educational Service District 112</t>
  </si>
  <si>
    <t>Educational Service District 123</t>
  </si>
  <si>
    <t>Puget Sound Educational Service District 121</t>
  </si>
  <si>
    <t>Olympic Educational Service District 114</t>
  </si>
  <si>
    <t>Northwest Educational Service District 189</t>
  </si>
  <si>
    <t>Educational Service District 101</t>
  </si>
  <si>
    <t>Capital Region ESD 113</t>
  </si>
  <si>
    <t>Educational Service District 105</t>
  </si>
  <si>
    <t>075A</t>
  </si>
  <si>
    <t>075Ahp</t>
  </si>
  <si>
    <t>O7hp</t>
  </si>
  <si>
    <t>4159_ta</t>
  </si>
  <si>
    <t>4159_c</t>
  </si>
  <si>
    <t>4159_i</t>
  </si>
  <si>
    <t>34_ta</t>
  </si>
  <si>
    <t>34_c</t>
  </si>
  <si>
    <t>34_i</t>
  </si>
  <si>
    <t>4126_ta</t>
  </si>
  <si>
    <t>4126_c</t>
  </si>
  <si>
    <t>4126_i</t>
  </si>
  <si>
    <t>Good 25-26</t>
  </si>
  <si>
    <t>4156_ta</t>
  </si>
  <si>
    <t>4156_c</t>
  </si>
  <si>
    <t>4156_i</t>
  </si>
  <si>
    <t>August 2026 Allocations</t>
  </si>
  <si>
    <t>SCHOOL  DISTRICT (25-26)</t>
  </si>
  <si>
    <t>SCHOOL  DISTRICT (25-26 Rosetta)</t>
  </si>
  <si>
    <t>2024–25</t>
  </si>
  <si>
    <t>Activity 34</t>
  </si>
  <si>
    <t>2025–26</t>
  </si>
  <si>
    <t>from August Data Extract</t>
  </si>
  <si>
    <t>Calc TAB</t>
  </si>
  <si>
    <t>From Jackie McDonald  August 27, 2026</t>
  </si>
  <si>
    <t>3100pd</t>
  </si>
  <si>
    <t>3031pd</t>
  </si>
  <si>
    <t>3034pd</t>
  </si>
  <si>
    <t>3045pd</t>
  </si>
  <si>
    <t>4120pd</t>
  </si>
  <si>
    <t>4155rpd</t>
  </si>
  <si>
    <t>4155hppd</t>
  </si>
  <si>
    <t>4165pd</t>
  </si>
  <si>
    <t>4174hp</t>
  </si>
  <si>
    <t>09pd</t>
  </si>
  <si>
    <t>2025-26</t>
  </si>
  <si>
    <t>PLD Activity 34 Total</t>
  </si>
  <si>
    <t>North Central Educational Service District 171</t>
  </si>
  <si>
    <t>Impact | Puget Sound</t>
  </si>
  <si>
    <t>Orient School District No 65</t>
  </si>
  <si>
    <t>Innovation Spokane Schools</t>
  </si>
  <si>
    <t>pld</t>
  </si>
  <si>
    <r>
      <t>Last Updated: September</t>
    </r>
    <r>
      <rPr>
        <b/>
        <sz val="12"/>
        <color theme="1"/>
        <rFont val="Calibri"/>
        <family val="2"/>
        <scheme val="minor"/>
      </rPr>
      <t xml:space="preserve"> 1, 2026</t>
    </r>
    <r>
      <rPr>
        <sz val="12"/>
        <color theme="1"/>
        <rFont val="Calibri"/>
        <family val="2"/>
        <scheme val="minor"/>
      </rPr>
      <t xml:space="preserve">. 2025–2026 allocations are updated through August 2026 for the </t>
    </r>
    <r>
      <rPr>
        <u/>
        <sz val="12"/>
        <color theme="1"/>
        <rFont val="Calibri"/>
        <family val="2"/>
        <scheme val="minor"/>
      </rPr>
      <t>GL 821 Restricted</t>
    </r>
    <r>
      <rPr>
        <sz val="12"/>
        <color theme="1"/>
        <rFont val="Calibri"/>
        <family val="2"/>
        <scheme val="minor"/>
      </rPr>
      <t xml:space="preserve"> worksheet. </t>
    </r>
  </si>
  <si>
    <r>
      <t xml:space="preserve">Last Updated: September 1, 2026. 2025–2026 allocations are updated through August 2026 for the </t>
    </r>
    <r>
      <rPr>
        <u/>
        <sz val="12"/>
        <color theme="1"/>
        <rFont val="Calibri"/>
        <family val="2"/>
        <scheme val="minor"/>
      </rPr>
      <t>GL 821 Restricted</t>
    </r>
    <r>
      <rPr>
        <sz val="12"/>
        <color theme="1"/>
        <rFont val="Calibri"/>
        <family val="2"/>
        <scheme val="minor"/>
      </rPr>
      <t xml:space="preserve"> worksheet. </t>
    </r>
  </si>
  <si>
    <t>This tool is provided to assist districts in properly coding their ending fund balances for the 2025–2026 school year.</t>
  </si>
  <si>
    <r>
      <rPr>
        <b/>
        <sz val="12"/>
        <color theme="1"/>
        <rFont val="Calibri"/>
        <family val="2"/>
        <scheme val="minor"/>
      </rPr>
      <t>Enter</t>
    </r>
    <r>
      <rPr>
        <sz val="12"/>
        <color theme="1"/>
        <rFont val="Calibri"/>
        <family val="2"/>
        <scheme val="minor"/>
      </rPr>
      <t xml:space="preserve"> the district's total assets and deferred outflows of resources, by fund, on </t>
    </r>
    <r>
      <rPr>
        <b/>
        <sz val="12"/>
        <color theme="1"/>
        <rFont val="Calibri"/>
        <family val="2"/>
        <scheme val="minor"/>
      </rPr>
      <t>line  5</t>
    </r>
    <r>
      <rPr>
        <sz val="12"/>
        <color theme="1"/>
        <rFont val="Calibri"/>
        <family val="2"/>
        <scheme val="minor"/>
      </rPr>
      <t>.</t>
    </r>
  </si>
  <si>
    <r>
      <rPr>
        <b/>
        <sz val="12"/>
        <color theme="1"/>
        <rFont val="Calibri"/>
        <family val="2"/>
        <scheme val="minor"/>
      </rPr>
      <t>Enter</t>
    </r>
    <r>
      <rPr>
        <sz val="12"/>
        <color theme="1"/>
        <rFont val="Calibri"/>
        <family val="2"/>
        <scheme val="minor"/>
      </rPr>
      <t xml:space="preserve"> the district's total liabilities and deferred inflows of resources, by fund, on</t>
    </r>
    <r>
      <rPr>
        <b/>
        <sz val="12"/>
        <color theme="1"/>
        <rFont val="Calibri"/>
        <family val="2"/>
        <scheme val="minor"/>
      </rPr>
      <t xml:space="preserve"> line 6</t>
    </r>
    <r>
      <rPr>
        <sz val="12"/>
        <color theme="1"/>
        <rFont val="Calibri"/>
        <family val="2"/>
        <scheme val="minor"/>
      </rPr>
      <t>.</t>
    </r>
  </si>
  <si>
    <t>This is the 2025-26 tool</t>
  </si>
  <si>
    <t>For 2025-26</t>
  </si>
  <si>
    <t>205-26           PLD 34</t>
  </si>
  <si>
    <t>Recalculated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</si>
</sst>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44" formatCode="_(&quot;$&quot;* #,##0.00_);_(&quot;$&quot;* \(#,##0.00\);_(&quot;$&quot;* &quot;-&quot;??_);_(@_)"/>
    <numFmt numFmtId="43" formatCode="_(* #,##0.00_);_(* \(#,##0.00\);_(* &quot;-&quot;??_);_(@_)"/>
    <numFmt numFmtId="164" formatCode="_(&quot;$&quot;* #,##0.00_);[Red]_(&quot;$&quot;* \(#,##0.00\);_(&quot;$&quot;* &quot;-&quot;??_);_(@_)"/>
    <numFmt numFmtId="165" formatCode="_(* #,##0.00_);_(* \(#,##0.00\);_(* &quot;-&quot;_);_(@_)"/>
    <numFmt numFmtId="166" formatCode="_(&quot;$&quot;* #,##0_);_(&quot;$&quot;* \(#,##0\);_(&quot;$&quot;* &quot;-&quot;??_);_(@_)"/>
    <numFmt numFmtId="167" formatCode="_(* #,##0_);_(* \(#,##0\);_(* &quot;-&quot;??_);_(@_)"/>
    <numFmt numFmtId="168" formatCode="_(* #,##0.0000_);_(* \(#,##0.0000\);_(* &quot;-&quot;??_);_(@_)"/>
  </numFmts>
  <fonts count="116">
    <font>
      <sz val="11"/>
      <color theme="1"/>
      <name val="Calibri"/>
      <family val="2"/>
      <scheme val="minor"/>
    </font>
    <font>
      <b/>
      <sz val="11"/>
      <color theme="1"/>
      <name val="Calibri"/>
      <family val="2"/>
      <scheme val="minor"/>
    </font>
    <font>
      <sz val="11"/>
      <color theme="1"/>
      <name val="Calibri"/>
      <family val="2"/>
      <scheme val="minor"/>
    </font>
    <font>
      <b/>
      <sz val="11"/>
      <color rgb="FF3F3F3F"/>
      <name val="Calibri"/>
      <family val="2"/>
      <scheme val="minor"/>
    </font>
    <font>
      <b/>
      <sz val="11"/>
      <color theme="0"/>
      <name val="Calibri"/>
      <family val="2"/>
      <scheme val="minor"/>
    </font>
    <font>
      <sz val="11"/>
      <color rgb="FFFF0000"/>
      <name val="Calibri"/>
      <family val="2"/>
      <scheme val="minor"/>
    </font>
    <font>
      <sz val="11"/>
      <name val="Calibri"/>
      <family val="2"/>
      <scheme val="minor"/>
    </font>
    <font>
      <u/>
      <sz val="11"/>
      <color theme="10"/>
      <name val="Calibri"/>
      <family val="2"/>
    </font>
    <font>
      <u val="doubleAccounting"/>
      <sz val="11"/>
      <color theme="1"/>
      <name val="Calibri"/>
      <family val="2"/>
      <scheme val="minor"/>
    </font>
    <font>
      <b/>
      <u val="doubleAccounting"/>
      <sz val="11"/>
      <color theme="1"/>
      <name val="Calibri"/>
      <family val="2"/>
      <scheme val="minor"/>
    </font>
    <font>
      <b/>
      <i/>
      <sz val="11"/>
      <color theme="1"/>
      <name val="Calibri"/>
      <family val="2"/>
      <scheme val="minor"/>
    </font>
    <font>
      <i/>
      <sz val="11"/>
      <color theme="1"/>
      <name val="Calibri"/>
      <family val="2"/>
      <scheme val="minor"/>
    </font>
    <font>
      <sz val="10"/>
      <color theme="1"/>
      <name val="Calibri"/>
      <family val="2"/>
      <scheme val="minor"/>
    </font>
    <font>
      <b/>
      <sz val="11"/>
      <name val="Calibri"/>
      <family val="2"/>
      <scheme val="minor"/>
    </font>
    <font>
      <sz val="9"/>
      <name val="Arial"/>
      <family val="2"/>
    </font>
    <font>
      <sz val="10"/>
      <color indexed="8"/>
      <name val="Arial"/>
      <family val="2"/>
    </font>
    <font>
      <sz val="11"/>
      <color indexed="8"/>
      <name val="Calibri"/>
      <family val="2"/>
    </font>
    <font>
      <sz val="10"/>
      <name val="Arial"/>
      <family val="2"/>
    </font>
    <font>
      <u val="singleAccounting"/>
      <sz val="11"/>
      <color theme="1"/>
      <name val="Calibri"/>
      <family val="2"/>
      <scheme val="minor"/>
    </font>
    <font>
      <u val="doubleAccounting"/>
      <sz val="11"/>
      <name val="Calibri"/>
      <family val="2"/>
      <scheme val="minor"/>
    </font>
    <font>
      <b/>
      <u/>
      <sz val="11"/>
      <color theme="1"/>
      <name val="Calibri"/>
      <family val="2"/>
      <scheme val="minor"/>
    </font>
    <font>
      <b/>
      <i/>
      <u val="doubleAccounting"/>
      <sz val="11"/>
      <color theme="0"/>
      <name val="Calibri"/>
      <family val="2"/>
      <scheme val="minor"/>
    </font>
    <font>
      <sz val="9"/>
      <color indexed="81"/>
      <name val="Tahoma"/>
      <family val="2"/>
    </font>
    <font>
      <b/>
      <sz val="9"/>
      <color indexed="81"/>
      <name val="Tahoma"/>
      <family val="2"/>
    </font>
    <font>
      <b/>
      <sz val="10"/>
      <color theme="3" tint="-0.249977111117893"/>
      <name val="Calibri"/>
      <family val="2"/>
      <scheme val="minor"/>
    </font>
    <font>
      <sz val="10"/>
      <name val="Calibri"/>
      <family val="2"/>
      <scheme val="minor"/>
    </font>
    <font>
      <sz val="10"/>
      <color indexed="8"/>
      <name val="MS Sans Serif"/>
      <family val="2"/>
    </font>
    <font>
      <sz val="10"/>
      <name val="Geneva"/>
      <family val="2"/>
    </font>
    <font>
      <b/>
      <u val="singleAccounting"/>
      <sz val="11"/>
      <color theme="1"/>
      <name val="Calibri"/>
      <family val="2"/>
      <scheme val="minor"/>
    </font>
    <font>
      <b/>
      <sz val="11"/>
      <color rgb="FFFF0000"/>
      <name val="Calibri"/>
      <family val="2"/>
      <scheme val="minor"/>
    </font>
    <font>
      <u val="singleAccounting"/>
      <sz val="11"/>
      <name val="Calibri"/>
      <family val="2"/>
      <scheme val="minor"/>
    </font>
    <font>
      <b/>
      <sz val="14"/>
      <color theme="1"/>
      <name val="Copperplate Gothic Bold"/>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1"/>
      <color theme="0"/>
      <name val="Calibri"/>
      <family val="2"/>
      <scheme val="minor"/>
    </font>
    <font>
      <sz val="10"/>
      <name val="Geneva"/>
    </font>
    <font>
      <sz val="10"/>
      <name val="MS Sans Serif"/>
      <family val="2"/>
    </font>
    <font>
      <u/>
      <sz val="10"/>
      <color indexed="12"/>
      <name val="Arial"/>
      <family val="2"/>
    </font>
    <font>
      <sz val="10"/>
      <name val="Arial"/>
      <family val="2"/>
    </font>
    <font>
      <sz val="11"/>
      <color theme="1"/>
      <name val="Calibri"/>
      <family val="2"/>
    </font>
    <font>
      <b/>
      <sz val="12"/>
      <color theme="1"/>
      <name val="Calibri"/>
      <family val="2"/>
      <scheme val="minor"/>
    </font>
    <font>
      <b/>
      <sz val="16"/>
      <color theme="1"/>
      <name val="Calibri"/>
      <family val="2"/>
      <scheme val="minor"/>
    </font>
    <font>
      <b/>
      <sz val="12"/>
      <color theme="3" tint="-0.249977111117893"/>
      <name val="Calibri"/>
      <family val="2"/>
      <scheme val="minor"/>
    </font>
    <font>
      <b/>
      <sz val="11"/>
      <name val="Calibri"/>
      <family val="2"/>
    </font>
    <font>
      <sz val="12"/>
      <color theme="1"/>
      <name val="Calibri"/>
      <family val="2"/>
      <scheme val="minor"/>
    </font>
    <font>
      <u/>
      <sz val="12"/>
      <color theme="10"/>
      <name val="Calibri"/>
      <family val="2"/>
      <scheme val="minor"/>
    </font>
    <font>
      <sz val="12"/>
      <color rgb="FFFF0000"/>
      <name val="Calibri"/>
      <family val="2"/>
      <scheme val="minor"/>
    </font>
    <font>
      <sz val="12"/>
      <name val="Calibri"/>
      <family val="2"/>
      <scheme val="minor"/>
    </font>
    <font>
      <u/>
      <sz val="12"/>
      <color rgb="FF0000FF"/>
      <name val="Calibri"/>
      <family val="2"/>
      <scheme val="minor"/>
    </font>
    <font>
      <sz val="12"/>
      <color rgb="FF3639B8"/>
      <name val="Calibri"/>
      <family val="2"/>
      <scheme val="minor"/>
    </font>
    <font>
      <b/>
      <i/>
      <sz val="11"/>
      <color rgb="FF000000"/>
      <name val="Calibri"/>
      <family val="2"/>
      <scheme val="minor"/>
    </font>
    <font>
      <sz val="11"/>
      <color rgb="FF000000"/>
      <name val="Calibri"/>
      <family val="2"/>
      <scheme val="minor"/>
    </font>
    <font>
      <i/>
      <sz val="11"/>
      <color rgb="FF000000"/>
      <name val="Calibri"/>
      <family val="2"/>
      <scheme val="minor"/>
    </font>
    <font>
      <u/>
      <sz val="12"/>
      <color theme="1"/>
      <name val="Calibri"/>
      <family val="2"/>
      <scheme val="minor"/>
    </font>
    <font>
      <b/>
      <u/>
      <sz val="12"/>
      <color theme="1"/>
      <name val="Calibri"/>
      <family val="2"/>
      <scheme val="minor"/>
    </font>
    <font>
      <u/>
      <sz val="11"/>
      <color rgb="FF0000FF"/>
      <name val="Calibri"/>
      <family val="2"/>
    </font>
    <font>
      <b/>
      <sz val="12"/>
      <color rgb="FF0000FF"/>
      <name val="Calibri"/>
      <family val="2"/>
      <scheme val="minor"/>
    </font>
    <font>
      <sz val="12"/>
      <color rgb="FF0000FF"/>
      <name val="Calibri"/>
      <family val="2"/>
      <scheme val="minor"/>
    </font>
    <font>
      <b/>
      <u/>
      <sz val="12"/>
      <color rgb="FF0000FF"/>
      <name val="Calibri"/>
      <family val="2"/>
      <scheme val="minor"/>
    </font>
    <font>
      <sz val="11"/>
      <color indexed="8"/>
      <name val="Calibri"/>
      <family val="2"/>
      <scheme val="minor"/>
    </font>
    <font>
      <sz val="10"/>
      <color rgb="FF000000"/>
      <name val="Calibri"/>
      <family val="2"/>
      <scheme val="minor"/>
    </font>
    <font>
      <u/>
      <sz val="10"/>
      <color rgb="FF000000"/>
      <name val="Calibri"/>
      <family val="2"/>
      <scheme val="minor"/>
    </font>
    <font>
      <sz val="10"/>
      <name val="Arial MT"/>
    </font>
    <font>
      <sz val="11"/>
      <color theme="1"/>
      <name val="Wingdings"/>
      <charset val="2"/>
    </font>
    <font>
      <i/>
      <strike/>
      <sz val="11"/>
      <color theme="1"/>
      <name val="Calibri"/>
      <family val="2"/>
      <scheme val="minor"/>
    </font>
    <font>
      <sz val="14"/>
      <color theme="1"/>
      <name val="Segoe UI"/>
      <family val="2"/>
    </font>
    <font>
      <b/>
      <u/>
      <sz val="14"/>
      <color theme="1"/>
      <name val="Segoe UI"/>
      <family val="2"/>
    </font>
    <font>
      <b/>
      <sz val="14"/>
      <color theme="1"/>
      <name val="Segoe UI"/>
      <family val="2"/>
    </font>
    <font>
      <b/>
      <sz val="14"/>
      <color rgb="FFC00000"/>
      <name val="Segoe UI"/>
      <family val="2"/>
    </font>
    <font>
      <b/>
      <sz val="8"/>
      <color theme="1"/>
      <name val="Calibri"/>
      <family val="2"/>
      <scheme val="minor"/>
    </font>
    <font>
      <b/>
      <sz val="14"/>
      <color theme="1"/>
      <name val="Calibri"/>
      <family val="2"/>
      <scheme val="minor"/>
    </font>
    <font>
      <b/>
      <i/>
      <sz val="14"/>
      <color theme="1"/>
      <name val="Calibri"/>
      <family val="2"/>
      <scheme val="minor"/>
    </font>
    <font>
      <b/>
      <u/>
      <sz val="14"/>
      <color theme="1"/>
      <name val="Calibri"/>
      <family val="2"/>
      <scheme val="minor"/>
    </font>
    <font>
      <b/>
      <sz val="12"/>
      <color theme="1"/>
      <name val="Segoe UI"/>
      <family val="2"/>
    </font>
    <font>
      <b/>
      <sz val="16"/>
      <color theme="1"/>
      <name val="Segoe UI"/>
      <family val="2"/>
    </font>
    <font>
      <b/>
      <sz val="11"/>
      <color rgb="FFC00000"/>
      <name val="Calibri"/>
      <family val="2"/>
      <scheme val="minor"/>
    </font>
    <font>
      <sz val="11"/>
      <color theme="8" tint="-0.249977111117893"/>
      <name val="Calibri"/>
      <family val="2"/>
      <scheme val="minor"/>
    </font>
    <font>
      <sz val="10"/>
      <name val="Arial"/>
      <family val="2"/>
    </font>
    <font>
      <b/>
      <sz val="10"/>
      <color theme="1"/>
      <name val="Calibri"/>
      <family val="2"/>
      <scheme val="minor"/>
    </font>
    <font>
      <b/>
      <sz val="14"/>
      <color rgb="FFC00000"/>
      <name val="Calibri"/>
      <family val="2"/>
      <scheme val="minor"/>
    </font>
    <font>
      <b/>
      <sz val="11"/>
      <color theme="1"/>
      <name val="Arial"/>
      <family val="2"/>
    </font>
    <font>
      <sz val="11"/>
      <color theme="1"/>
      <name val="Segoe UI"/>
      <family val="2"/>
    </font>
    <font>
      <b/>
      <sz val="12"/>
      <color rgb="FFC00000"/>
      <name val="Calibri"/>
      <family val="2"/>
      <scheme val="minor"/>
    </font>
    <font>
      <b/>
      <i/>
      <sz val="12"/>
      <color theme="1"/>
      <name val="Calibri"/>
      <family val="2"/>
      <scheme val="minor"/>
    </font>
    <font>
      <b/>
      <sz val="12"/>
      <name val="Calibri"/>
      <family val="2"/>
      <scheme val="minor"/>
    </font>
    <font>
      <b/>
      <u val="doubleAccounting"/>
      <sz val="12"/>
      <name val="Calibri"/>
      <family val="2"/>
      <scheme val="minor"/>
    </font>
    <font>
      <b/>
      <u val="doubleAccounting"/>
      <sz val="14"/>
      <name val="Calibri"/>
      <family val="2"/>
      <scheme val="minor"/>
    </font>
    <font>
      <b/>
      <u val="singleAccounting"/>
      <sz val="12"/>
      <name val="Calibri"/>
      <family val="2"/>
      <scheme val="minor"/>
    </font>
    <font>
      <i/>
      <sz val="10"/>
      <color theme="1"/>
      <name val="Calibri"/>
      <family val="2"/>
      <scheme val="minor"/>
    </font>
    <font>
      <i/>
      <sz val="11"/>
      <name val="Calibri"/>
      <family val="2"/>
      <scheme val="minor"/>
    </font>
    <font>
      <b/>
      <i/>
      <u val="doubleAccounting"/>
      <sz val="11"/>
      <name val="Calibri"/>
      <family val="2"/>
      <scheme val="minor"/>
    </font>
    <font>
      <i/>
      <sz val="10"/>
      <name val="Calibri"/>
      <family val="2"/>
      <scheme val="minor"/>
    </font>
    <font>
      <b/>
      <i/>
      <sz val="11"/>
      <name val="Calibri"/>
      <family val="2"/>
      <scheme val="minor"/>
    </font>
    <font>
      <b/>
      <i/>
      <sz val="9"/>
      <name val="Calibri"/>
      <family val="2"/>
      <scheme val="minor"/>
    </font>
    <font>
      <sz val="11"/>
      <name val="Calibri"/>
      <family val="2"/>
    </font>
    <font>
      <sz val="11"/>
      <color rgb="FF000000"/>
      <name val="Calibri"/>
      <family val="2"/>
    </font>
    <font>
      <sz val="10"/>
      <color theme="1"/>
      <name val="Segoe UI"/>
      <family val="2"/>
    </font>
    <font>
      <sz val="10"/>
      <name val="Segoe UI"/>
      <family val="2"/>
    </font>
    <font>
      <b/>
      <sz val="12"/>
      <name val="Arial"/>
      <family val="2"/>
    </font>
    <font>
      <sz val="10"/>
      <color theme="1"/>
      <name val="Calibri"/>
      <family val="2"/>
    </font>
    <font>
      <b/>
      <u/>
      <sz val="11"/>
      <color rgb="FF000000"/>
      <name val="Calibri"/>
      <family val="2"/>
      <scheme val="minor"/>
    </font>
    <font>
      <sz val="8"/>
      <color theme="1"/>
      <name val="Calibri"/>
      <family val="2"/>
      <scheme val="minor"/>
    </font>
    <font>
      <sz val="9"/>
      <color indexed="81"/>
      <name val="Tahoma"/>
      <charset val="1"/>
    </font>
    <font>
      <sz val="8"/>
      <color theme="3" tint="-0.249977111117893"/>
      <name val="Calibri"/>
      <family val="2"/>
      <scheme val="minor"/>
    </font>
    <font>
      <b/>
      <sz val="9"/>
      <color indexed="81"/>
      <name val="Tahoma"/>
      <charset val="1"/>
    </font>
    <font>
      <b/>
      <sz val="14"/>
      <color theme="8" tint="-0.249977111117893"/>
      <name val="Calibri"/>
      <family val="2"/>
      <scheme val="minor"/>
    </font>
    <font>
      <b/>
      <sz val="14"/>
      <name val="Calibri"/>
      <family val="2"/>
      <scheme val="minor"/>
    </font>
  </fonts>
  <fills count="96">
    <fill>
      <patternFill patternType="none"/>
    </fill>
    <fill>
      <patternFill patternType="gray125"/>
    </fill>
    <fill>
      <patternFill patternType="solid">
        <fgColor rgb="FFF2F2F2"/>
      </patternFill>
    </fill>
    <fill>
      <patternFill patternType="solid">
        <fgColor theme="7" tint="0.59999389629810485"/>
        <bgColor indexed="65"/>
      </patternFill>
    </fill>
    <fill>
      <patternFill patternType="solid">
        <fgColor rgb="FFFFFF00"/>
        <bgColor indexed="64"/>
      </patternFill>
    </fill>
    <fill>
      <patternFill patternType="solid">
        <fgColor rgb="FF92D050"/>
        <bgColor indexed="64"/>
      </patternFill>
    </fill>
    <fill>
      <patternFill patternType="solid">
        <fgColor theme="0" tint="-4.9989318521683403E-2"/>
        <bgColor indexed="64"/>
      </patternFill>
    </fill>
    <fill>
      <patternFill patternType="solid">
        <fgColor rgb="FF7030A0"/>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5" tint="0.39997558519241921"/>
        <bgColor indexed="64"/>
      </patternFill>
    </fill>
    <fill>
      <patternFill patternType="solid">
        <fgColor rgb="FF00206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rgb="FFFFDEAD"/>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theme="5"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C0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rgb="FFCCFFCC"/>
        <bgColor indexed="64"/>
      </patternFill>
    </fill>
    <fill>
      <patternFill patternType="solid">
        <fgColor rgb="FFFFCCFF"/>
        <bgColor indexed="64"/>
      </patternFill>
    </fill>
    <fill>
      <patternFill patternType="solid">
        <fgColor rgb="FFFFE1FF"/>
        <bgColor indexed="64"/>
      </patternFill>
    </fill>
    <fill>
      <patternFill patternType="solid">
        <fgColor rgb="FFFFFFCC"/>
        <bgColor indexed="64"/>
      </patternFill>
    </fill>
    <fill>
      <patternFill patternType="solid">
        <fgColor theme="9" tint="0.59999389629810485"/>
        <bgColor indexed="64"/>
      </patternFill>
    </fill>
    <fill>
      <patternFill patternType="solid">
        <fgColor rgb="FFFD8BF5"/>
        <bgColor indexed="0"/>
      </patternFill>
    </fill>
    <fill>
      <patternFill patternType="solid">
        <fgColor theme="2" tint="-0.249977111117893"/>
        <bgColor indexed="64"/>
      </patternFill>
    </fill>
    <fill>
      <patternFill patternType="solid">
        <fgColor rgb="FFFFE1FF"/>
        <bgColor indexed="0"/>
      </patternFill>
    </fill>
    <fill>
      <patternFill patternType="solid">
        <fgColor theme="5" tint="0.59999389629810485"/>
        <bgColor indexed="64"/>
      </patternFill>
    </fill>
    <fill>
      <patternFill patternType="lightGray">
        <fgColor theme="2" tint="-9.9948118533890809E-2"/>
        <bgColor theme="2" tint="-9.9948118533890809E-2"/>
      </patternFill>
    </fill>
    <fill>
      <patternFill patternType="lightGray">
        <fgColor theme="2" tint="-9.9948118533890809E-2"/>
        <bgColor rgb="FFCCFFCC"/>
      </patternFill>
    </fill>
    <fill>
      <patternFill patternType="solid">
        <fgColor rgb="FFFFFFFF"/>
        <bgColor rgb="FF000000"/>
      </patternFill>
    </fill>
    <fill>
      <patternFill patternType="solid">
        <fgColor rgb="FF99FFCC"/>
        <bgColor rgb="FF000000"/>
      </patternFill>
    </fill>
    <fill>
      <patternFill patternType="solid">
        <fgColor rgb="FFFF0000"/>
        <bgColor indexed="64"/>
      </patternFill>
    </fill>
    <fill>
      <patternFill patternType="solid">
        <fgColor rgb="FFE9F54D"/>
        <bgColor indexed="64"/>
      </patternFill>
    </fill>
    <fill>
      <patternFill patternType="gray0625">
        <fgColor theme="0" tint="-0.24994659260841701"/>
        <bgColor theme="0"/>
      </patternFill>
    </fill>
    <fill>
      <patternFill patternType="gray0625">
        <fgColor theme="0" tint="-0.24994659260841701"/>
        <bgColor rgb="FFCCFFCC"/>
      </patternFill>
    </fill>
    <fill>
      <patternFill patternType="solid">
        <fgColor theme="9" tint="0.79998168889431442"/>
        <bgColor indexed="64"/>
      </patternFill>
    </fill>
    <fill>
      <patternFill patternType="solid">
        <fgColor rgb="FFCCFF99"/>
        <bgColor indexed="64"/>
      </patternFill>
    </fill>
    <fill>
      <patternFill patternType="solid">
        <fgColor rgb="FFB8EEF6"/>
        <bgColor indexed="64"/>
      </patternFill>
    </fill>
    <fill>
      <patternFill patternType="solid">
        <fgColor rgb="FF66FF33"/>
        <bgColor indexed="64"/>
      </patternFill>
    </fill>
    <fill>
      <patternFill patternType="solid">
        <fgColor theme="2"/>
        <bgColor indexed="64"/>
      </patternFill>
    </fill>
    <fill>
      <patternFill patternType="gray0625"/>
    </fill>
    <fill>
      <patternFill patternType="gray0625">
        <bgColor theme="4" tint="0.59999389629810485"/>
      </patternFill>
    </fill>
    <fill>
      <patternFill patternType="gray0625">
        <bgColor rgb="FFFFFF00"/>
      </patternFill>
    </fill>
    <fill>
      <patternFill patternType="gray0625">
        <bgColor theme="4" tint="0.79998168889431442"/>
      </patternFill>
    </fill>
    <fill>
      <patternFill patternType="solid">
        <fgColor rgb="FFC9F1FF"/>
        <bgColor indexed="64"/>
      </patternFill>
    </fill>
    <fill>
      <patternFill patternType="solid">
        <fgColor rgb="FF4FD1FF"/>
        <bgColor indexed="64"/>
      </patternFill>
    </fill>
    <fill>
      <patternFill patternType="solid">
        <fgColor rgb="FFD88BFF"/>
        <bgColor indexed="64"/>
      </patternFill>
    </fill>
    <fill>
      <patternFill patternType="solid">
        <fgColor rgb="FFFFDDFF"/>
        <bgColor indexed="64"/>
      </patternFill>
    </fill>
    <fill>
      <patternFill patternType="solid">
        <fgColor rgb="FF8CB5AB"/>
        <bgColor rgb="FF000000"/>
      </patternFill>
    </fill>
    <fill>
      <patternFill patternType="solid">
        <fgColor rgb="FFFFFF00"/>
        <bgColor rgb="FF000000"/>
      </patternFill>
    </fill>
    <fill>
      <patternFill patternType="solid">
        <fgColor rgb="FFFFDDFF"/>
        <bgColor rgb="FF000000"/>
      </patternFill>
    </fill>
    <fill>
      <patternFill patternType="solid">
        <fgColor rgb="FF00FF00"/>
        <bgColor indexed="64"/>
      </patternFill>
    </fill>
    <fill>
      <patternFill patternType="solid">
        <fgColor rgb="FFCCFF66"/>
        <bgColor indexed="64"/>
      </patternFill>
    </fill>
    <fill>
      <patternFill patternType="solid">
        <fgColor rgb="FFFFA3A3"/>
        <bgColor indexed="64"/>
      </patternFill>
    </fill>
    <fill>
      <patternFill patternType="lightGray"/>
    </fill>
    <fill>
      <patternFill patternType="lightGray">
        <bgColor rgb="FFCCFF99"/>
      </patternFill>
    </fill>
    <fill>
      <patternFill patternType="solid">
        <fgColor theme="0" tint="-0.34998626667073579"/>
        <bgColor indexed="64"/>
      </patternFill>
    </fill>
    <fill>
      <patternFill patternType="solid">
        <fgColor rgb="FF00B0F0"/>
        <bgColor indexed="64"/>
      </patternFill>
    </fill>
    <fill>
      <patternFill patternType="gray0625">
        <bgColor theme="2" tint="-9.9978637043366805E-2"/>
      </patternFill>
    </fill>
    <fill>
      <patternFill patternType="solid">
        <fgColor theme="9" tint="0.39997558519241921"/>
        <bgColor indexed="64"/>
      </patternFill>
    </fill>
    <fill>
      <patternFill patternType="solid">
        <fgColor rgb="FF66FFFF"/>
        <bgColor indexed="64"/>
      </patternFill>
    </fill>
  </fills>
  <borders count="55">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B2B2B2"/>
      </left>
      <right/>
      <top/>
      <bottom/>
      <diagonal/>
    </border>
    <border>
      <left/>
      <right style="thin">
        <color rgb="FFB2B2B2"/>
      </right>
      <top/>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8"/>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8"/>
      </left>
      <right/>
      <top style="medium">
        <color indexed="64"/>
      </top>
      <bottom style="medium">
        <color indexed="64"/>
      </bottom>
      <diagonal/>
    </border>
    <border>
      <left/>
      <right/>
      <top/>
      <bottom style="double">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medium">
        <color indexed="64"/>
      </top>
      <bottom style="medium">
        <color indexed="64"/>
      </bottom>
      <diagonal/>
    </border>
    <border>
      <left style="thin">
        <color rgb="FFD0CECE"/>
      </left>
      <right style="thin">
        <color rgb="FFD0CECE"/>
      </right>
      <top style="thin">
        <color rgb="FFD0CECE"/>
      </top>
      <bottom style="thin">
        <color rgb="FFD0CECE"/>
      </bottom>
      <diagonal/>
    </border>
    <border>
      <left/>
      <right/>
      <top style="thin">
        <color indexed="64"/>
      </top>
      <bottom/>
      <diagonal/>
    </border>
  </borders>
  <cellStyleXfs count="5342">
    <xf numFmtId="0" fontId="0" fillId="0" borderId="0"/>
    <xf numFmtId="44" fontId="2" fillId="0" borderId="0" applyFont="0" applyFill="0" applyBorder="0" applyAlignment="0" applyProtection="0"/>
    <xf numFmtId="9" fontId="2" fillId="0" borderId="0" applyFont="0" applyFill="0" applyBorder="0" applyAlignment="0" applyProtection="0"/>
    <xf numFmtId="0" fontId="3" fillId="2" borderId="1" applyNumberFormat="0" applyAlignment="0" applyProtection="0"/>
    <xf numFmtId="0" fontId="2" fillId="3" borderId="0" applyNumberFormat="0" applyBorder="0" applyAlignment="0" applyProtection="0"/>
    <xf numFmtId="0" fontId="7" fillId="0" borderId="0" applyNumberFormat="0" applyFill="0" applyBorder="0" applyAlignment="0" applyProtection="0">
      <alignment vertical="top"/>
      <protection locked="0"/>
    </xf>
    <xf numFmtId="0" fontId="17" fillId="0" borderId="0"/>
    <xf numFmtId="43" fontId="17" fillId="0" borderId="0" applyFont="0" applyFill="0" applyBorder="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43" fontId="2" fillId="0" borderId="0" applyFont="0" applyFill="0" applyBorder="0" applyAlignment="0" applyProtection="0"/>
    <xf numFmtId="0" fontId="26" fillId="0" borderId="0"/>
    <xf numFmtId="0" fontId="26" fillId="0" borderId="0"/>
    <xf numFmtId="0" fontId="26" fillId="0" borderId="0"/>
    <xf numFmtId="0" fontId="26" fillId="0" borderId="0"/>
    <xf numFmtId="0" fontId="26" fillId="0" borderId="0"/>
    <xf numFmtId="0" fontId="26" fillId="0" borderId="0"/>
    <xf numFmtId="0" fontId="17" fillId="0" borderId="0"/>
    <xf numFmtId="0" fontId="17" fillId="0" borderId="0"/>
    <xf numFmtId="0" fontId="26" fillId="0" borderId="0"/>
    <xf numFmtId="0" fontId="26" fillId="0" borderId="0"/>
    <xf numFmtId="0" fontId="17"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9" fontId="27" fillId="0" borderId="0" applyFont="0" applyFill="0" applyBorder="0" applyAlignment="0" applyProtection="0"/>
    <xf numFmtId="0" fontId="15" fillId="0" borderId="0"/>
    <xf numFmtId="0" fontId="32" fillId="0" borderId="0" applyNumberFormat="0" applyFill="0" applyBorder="0" applyAlignment="0" applyProtection="0"/>
    <xf numFmtId="0" fontId="33" fillId="0" borderId="18" applyNumberFormat="0" applyFill="0" applyAlignment="0" applyProtection="0"/>
    <xf numFmtId="0" fontId="34" fillId="0" borderId="19" applyNumberFormat="0" applyFill="0" applyAlignment="0" applyProtection="0"/>
    <xf numFmtId="0" fontId="35" fillId="0" borderId="20" applyNumberFormat="0" applyFill="0" applyAlignment="0" applyProtection="0"/>
    <xf numFmtId="0" fontId="35" fillId="0" borderId="0" applyNumberFormat="0" applyFill="0" applyBorder="0" applyAlignment="0" applyProtection="0"/>
    <xf numFmtId="0" fontId="36" fillId="31" borderId="0" applyNumberFormat="0" applyBorder="0" applyAlignment="0" applyProtection="0"/>
    <xf numFmtId="0" fontId="37" fillId="32" borderId="0" applyNumberFormat="0" applyBorder="0" applyAlignment="0" applyProtection="0"/>
    <xf numFmtId="0" fontId="38" fillId="33" borderId="0" applyNumberFormat="0" applyBorder="0" applyAlignment="0" applyProtection="0"/>
    <xf numFmtId="0" fontId="39" fillId="34" borderId="21" applyNumberFormat="0" applyAlignment="0" applyProtection="0"/>
    <xf numFmtId="0" fontId="40" fillId="2" borderId="21" applyNumberFormat="0" applyAlignment="0" applyProtection="0"/>
    <xf numFmtId="0" fontId="41" fillId="0" borderId="22" applyNumberFormat="0" applyFill="0" applyAlignment="0" applyProtection="0"/>
    <xf numFmtId="0" fontId="4" fillId="35" borderId="23" applyNumberFormat="0" applyAlignment="0" applyProtection="0"/>
    <xf numFmtId="0" fontId="5" fillId="0" borderId="0" applyNumberFormat="0" applyFill="0" applyBorder="0" applyAlignment="0" applyProtection="0"/>
    <xf numFmtId="0" fontId="42" fillId="0" borderId="0" applyNumberFormat="0" applyFill="0" applyBorder="0" applyAlignment="0" applyProtection="0"/>
    <xf numFmtId="0" fontId="1" fillId="0" borderId="24" applyNumberFormat="0" applyFill="0" applyAlignment="0" applyProtection="0"/>
    <xf numFmtId="0" fontId="43" fillId="36"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43" fillId="37" borderId="0" applyNumberFormat="0" applyBorder="0" applyAlignment="0" applyProtection="0"/>
    <xf numFmtId="0" fontId="43" fillId="38"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43" fillId="39" borderId="0" applyNumberFormat="0" applyBorder="0" applyAlignment="0" applyProtection="0"/>
    <xf numFmtId="0" fontId="43" fillId="40"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43" fillId="41" borderId="0" applyNumberFormat="0" applyBorder="0" applyAlignment="0" applyProtection="0"/>
    <xf numFmtId="0" fontId="43" fillId="42" borderId="0" applyNumberFormat="0" applyBorder="0" applyAlignment="0" applyProtection="0"/>
    <xf numFmtId="0" fontId="2" fillId="22" borderId="0" applyNumberFormat="0" applyBorder="0" applyAlignment="0" applyProtection="0"/>
    <xf numFmtId="0" fontId="43" fillId="43" borderId="0" applyNumberFormat="0" applyBorder="0" applyAlignment="0" applyProtection="0"/>
    <xf numFmtId="0" fontId="43" fillId="44"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43" fillId="45" borderId="0" applyNumberFormat="0" applyBorder="0" applyAlignment="0" applyProtection="0"/>
    <xf numFmtId="0" fontId="43" fillId="46"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3" fillId="47" borderId="0" applyNumberFormat="0" applyBorder="0" applyAlignment="0" applyProtection="0"/>
    <xf numFmtId="0" fontId="15" fillId="0" borderId="0"/>
    <xf numFmtId="0" fontId="44" fillId="0" borderId="0"/>
    <xf numFmtId="40" fontId="27"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43" fontId="17" fillId="0" borderId="0" applyFont="0" applyFill="0" applyBorder="0" applyAlignment="0" applyProtection="0"/>
    <xf numFmtId="43" fontId="26" fillId="0" borderId="0" applyFont="0" applyFill="0" applyBorder="0" applyAlignment="0" applyProtection="0"/>
    <xf numFmtId="44" fontId="27" fillId="0" borderId="0" applyFont="0" applyFill="0" applyBorder="0" applyAlignment="0" applyProtection="0"/>
    <xf numFmtId="0" fontId="45" fillId="0" borderId="0"/>
    <xf numFmtId="0" fontId="45" fillId="0" borderId="0"/>
    <xf numFmtId="0" fontId="44" fillId="0" borderId="0"/>
    <xf numFmtId="0" fontId="17"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9" fontId="26" fillId="0" borderId="0" applyFont="0" applyFill="0" applyBorder="0" applyAlignment="0" applyProtection="0"/>
    <xf numFmtId="9" fontId="26" fillId="0" borderId="0" applyFont="0" applyFill="0" applyBorder="0" applyAlignment="0" applyProtection="0"/>
    <xf numFmtId="0" fontId="46" fillId="0" borderId="0" applyNumberFormat="0" applyFill="0" applyBorder="0" applyAlignment="0" applyProtection="0">
      <alignment vertical="top"/>
      <protection locked="0"/>
    </xf>
    <xf numFmtId="0" fontId="2" fillId="0" borderId="0"/>
    <xf numFmtId="0" fontId="17" fillId="0" borderId="0"/>
    <xf numFmtId="44" fontId="17" fillId="0" borderId="0" applyFont="0" applyFill="0" applyBorder="0" applyAlignment="0" applyProtection="0"/>
    <xf numFmtId="9" fontId="17"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7" fillId="0" borderId="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17" fillId="0" borderId="0"/>
    <xf numFmtId="0" fontId="2" fillId="0" borderId="0"/>
    <xf numFmtId="0" fontId="2" fillId="0" borderId="0"/>
    <xf numFmtId="43" fontId="2" fillId="0" borderId="0" applyFont="0" applyFill="0" applyBorder="0" applyAlignment="0" applyProtection="0"/>
    <xf numFmtId="9" fontId="2" fillId="0" borderId="0" applyFont="0" applyFill="0" applyBorder="0" applyAlignment="0" applyProtection="0"/>
    <xf numFmtId="0" fontId="44" fillId="0" borderId="0"/>
    <xf numFmtId="40" fontId="27" fillId="0" borderId="0" applyFont="0" applyFill="0" applyBorder="0" applyAlignment="0" applyProtection="0"/>
    <xf numFmtId="44" fontId="27" fillId="0" borderId="0" applyFont="0" applyFill="0" applyBorder="0" applyAlignment="0" applyProtection="0"/>
    <xf numFmtId="9" fontId="27"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17" fillId="0" borderId="0"/>
    <xf numFmtId="0" fontId="2" fillId="0" borderId="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47" fillId="0" borderId="0"/>
    <xf numFmtId="0" fontId="2" fillId="0" borderId="0"/>
    <xf numFmtId="0" fontId="2" fillId="0" borderId="0"/>
    <xf numFmtId="0" fontId="27" fillId="0" borderId="0"/>
    <xf numFmtId="0" fontId="27" fillId="0" borderId="0"/>
    <xf numFmtId="0" fontId="27" fillId="0" borderId="0"/>
    <xf numFmtId="0" fontId="17" fillId="0" borderId="0"/>
    <xf numFmtId="43" fontId="48" fillId="0" borderId="0" applyFont="0" applyFill="0" applyBorder="0" applyAlignment="0" applyProtection="0"/>
    <xf numFmtId="0" fontId="48" fillId="0" borderId="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3"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0" borderId="0"/>
    <xf numFmtId="0" fontId="2" fillId="15" borderId="6" applyNumberFormat="0" applyFont="0" applyAlignment="0" applyProtection="0"/>
    <xf numFmtId="0" fontId="2" fillId="15" borderId="6" applyNumberFormat="0" applyFont="0" applyAlignment="0" applyProtection="0"/>
    <xf numFmtId="43" fontId="2" fillId="0" borderId="0" applyFont="0" applyFill="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25"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21"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0" fontId="2" fillId="26" borderId="0" applyNumberFormat="0" applyBorder="0" applyAlignment="0" applyProtection="0"/>
    <xf numFmtId="43" fontId="26" fillId="0" borderId="0" applyFont="0" applyFill="0" applyBorder="0" applyAlignment="0" applyProtection="0"/>
    <xf numFmtId="44" fontId="27"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0" fontId="2" fillId="15" borderId="6" applyNumberFormat="0" applyFont="0" applyAlignment="0" applyProtection="0"/>
    <xf numFmtId="9" fontId="27"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17" fillId="0" borderId="0"/>
    <xf numFmtId="0" fontId="71" fillId="0" borderId="0"/>
    <xf numFmtId="0" fontId="2" fillId="0" borderId="0"/>
    <xf numFmtId="0" fontId="2" fillId="0" borderId="0"/>
    <xf numFmtId="0" fontId="86" fillId="0" borderId="0"/>
    <xf numFmtId="0" fontId="2" fillId="0" borderId="0"/>
    <xf numFmtId="0" fontId="2" fillId="0" borderId="0"/>
    <xf numFmtId="0" fontId="2" fillId="0" borderId="0"/>
  </cellStyleXfs>
  <cellXfs count="722">
    <xf numFmtId="0" fontId="0" fillId="0" borderId="0" xfId="0"/>
    <xf numFmtId="44" fontId="0" fillId="4" borderId="0" xfId="1" applyFont="1" applyFill="1"/>
    <xf numFmtId="44" fontId="0" fillId="0" borderId="0" xfId="1" applyFont="1"/>
    <xf numFmtId="44" fontId="0" fillId="5" borderId="0" xfId="1" applyFont="1" applyFill="1"/>
    <xf numFmtId="0" fontId="0" fillId="0" borderId="0" xfId="0" applyAlignment="1">
      <alignment horizontal="left" indent="1"/>
    </xf>
    <xf numFmtId="44" fontId="0" fillId="0" borderId="0" xfId="0" applyNumberFormat="1"/>
    <xf numFmtId="0" fontId="7" fillId="0" borderId="0" xfId="5" applyAlignment="1" applyProtection="1"/>
    <xf numFmtId="0" fontId="1" fillId="0" borderId="0" xfId="0" applyFont="1"/>
    <xf numFmtId="44" fontId="9" fillId="0" borderId="0" xfId="1" applyFont="1"/>
    <xf numFmtId="44" fontId="3" fillId="2" borderId="1" xfId="3" applyNumberFormat="1"/>
    <xf numFmtId="0" fontId="10" fillId="0" borderId="0" xfId="0" applyFont="1"/>
    <xf numFmtId="0" fontId="11" fillId="0" borderId="0" xfId="0" applyFont="1"/>
    <xf numFmtId="10" fontId="0" fillId="0" borderId="0" xfId="0" applyNumberFormat="1"/>
    <xf numFmtId="44" fontId="2" fillId="3" borderId="0" xfId="4" applyNumberFormat="1"/>
    <xf numFmtId="44" fontId="0" fillId="4" borderId="0" xfId="0" applyNumberFormat="1" applyFill="1"/>
    <xf numFmtId="44" fontId="8" fillId="3" borderId="0" xfId="4" applyNumberFormat="1" applyFont="1"/>
    <xf numFmtId="44" fontId="4" fillId="7" borderId="0" xfId="1" applyFont="1" applyFill="1"/>
    <xf numFmtId="0" fontId="11" fillId="0" borderId="0" xfId="0" applyFont="1" applyAlignment="1">
      <alignment vertical="center" wrapText="1"/>
    </xf>
    <xf numFmtId="44" fontId="0" fillId="6" borderId="0" xfId="1" applyFont="1" applyFill="1"/>
    <xf numFmtId="44" fontId="1" fillId="8" borderId="0" xfId="1" applyFont="1" applyFill="1"/>
    <xf numFmtId="44" fontId="1" fillId="6" borderId="0" xfId="1" applyFont="1" applyFill="1"/>
    <xf numFmtId="44" fontId="1" fillId="0" borderId="0" xfId="1" applyFont="1"/>
    <xf numFmtId="0" fontId="0" fillId="8" borderId="0" xfId="0" applyFill="1"/>
    <xf numFmtId="44" fontId="13" fillId="4" borderId="0" xfId="1" applyFont="1" applyFill="1"/>
    <xf numFmtId="0" fontId="14" fillId="0" borderId="0" xfId="0" applyFont="1" applyAlignment="1">
      <alignment horizontal="center"/>
    </xf>
    <xf numFmtId="0" fontId="14" fillId="0" borderId="0" xfId="0" applyFont="1"/>
    <xf numFmtId="10" fontId="0" fillId="11" borderId="0" xfId="0" applyNumberFormat="1" applyFill="1"/>
    <xf numFmtId="44" fontId="19" fillId="13" borderId="0" xfId="4" applyNumberFormat="1" applyFont="1" applyFill="1"/>
    <xf numFmtId="44" fontId="0" fillId="12" borderId="0" xfId="1" applyFont="1" applyFill="1"/>
    <xf numFmtId="44" fontId="8" fillId="13" borderId="0" xfId="4" applyNumberFormat="1" applyFont="1" applyFill="1"/>
    <xf numFmtId="44" fontId="8" fillId="13" borderId="0" xfId="1" applyFont="1" applyFill="1"/>
    <xf numFmtId="0" fontId="20" fillId="0" borderId="0" xfId="0" applyFont="1"/>
    <xf numFmtId="44" fontId="21" fillId="14" borderId="0" xfId="1" applyFont="1" applyFill="1"/>
    <xf numFmtId="0" fontId="0" fillId="0" borderId="0" xfId="0" applyAlignment="1">
      <alignment vertical="center"/>
    </xf>
    <xf numFmtId="49" fontId="0" fillId="4" borderId="0" xfId="0" applyNumberFormat="1" applyFill="1"/>
    <xf numFmtId="0" fontId="11" fillId="0" borderId="9" xfId="0" applyFont="1" applyBorder="1"/>
    <xf numFmtId="0" fontId="0" fillId="0" borderId="10" xfId="0" applyBorder="1"/>
    <xf numFmtId="0" fontId="0" fillId="0" borderId="11" xfId="0" applyBorder="1"/>
    <xf numFmtId="44" fontId="0" fillId="4" borderId="12" xfId="1" applyFont="1" applyFill="1" applyBorder="1"/>
    <xf numFmtId="10" fontId="0" fillId="4" borderId="12" xfId="0" applyNumberFormat="1" applyFill="1" applyBorder="1"/>
    <xf numFmtId="44" fontId="0" fillId="0" borderId="12" xfId="0" applyNumberFormat="1" applyBorder="1"/>
    <xf numFmtId="0" fontId="0" fillId="0" borderId="13" xfId="0" applyBorder="1"/>
    <xf numFmtId="10" fontId="0" fillId="0" borderId="14" xfId="2" applyNumberFormat="1" applyFont="1" applyBorder="1"/>
    <xf numFmtId="9" fontId="0" fillId="4" borderId="12" xfId="0" applyNumberFormat="1" applyFill="1" applyBorder="1"/>
    <xf numFmtId="44" fontId="0" fillId="4" borderId="14" xfId="1" applyFont="1" applyFill="1" applyBorder="1"/>
    <xf numFmtId="0" fontId="12" fillId="0" borderId="0" xfId="0" applyFont="1"/>
    <xf numFmtId="49" fontId="0" fillId="27" borderId="0" xfId="0" applyNumberFormat="1" applyFill="1"/>
    <xf numFmtId="0" fontId="1" fillId="0" borderId="0" xfId="0" applyFont="1" applyAlignment="1">
      <alignment vertical="center"/>
    </xf>
    <xf numFmtId="43" fontId="0" fillId="0" borderId="0" xfId="9" applyFont="1"/>
    <xf numFmtId="0" fontId="0" fillId="0" borderId="0" xfId="0" applyAlignment="1">
      <alignment horizontal="center" wrapText="1"/>
    </xf>
    <xf numFmtId="44" fontId="18" fillId="0" borderId="0" xfId="0" applyNumberFormat="1" applyFont="1"/>
    <xf numFmtId="10" fontId="0" fillId="0" borderId="0" xfId="2" applyNumberFormat="1" applyFont="1"/>
    <xf numFmtId="44" fontId="28" fillId="0" borderId="0" xfId="1" applyFont="1"/>
    <xf numFmtId="0" fontId="0" fillId="0" borderId="0" xfId="0" applyAlignment="1">
      <alignment vertical="center" wrapText="1"/>
    </xf>
    <xf numFmtId="44" fontId="9" fillId="0" borderId="0" xfId="0" applyNumberFormat="1" applyFont="1"/>
    <xf numFmtId="44" fontId="29" fillId="0" borderId="0" xfId="1" applyFont="1"/>
    <xf numFmtId="43" fontId="0" fillId="4" borderId="0" xfId="9" applyFont="1" applyFill="1"/>
    <xf numFmtId="43" fontId="18" fillId="4" borderId="0" xfId="9" applyFont="1" applyFill="1"/>
    <xf numFmtId="0" fontId="0" fillId="0" borderId="0" xfId="0" applyAlignment="1">
      <alignment horizontal="left"/>
    </xf>
    <xf numFmtId="44" fontId="18" fillId="4" borderId="0" xfId="1" applyFont="1" applyFill="1"/>
    <xf numFmtId="44" fontId="18" fillId="12" borderId="0" xfId="1" applyFont="1" applyFill="1"/>
    <xf numFmtId="44" fontId="9" fillId="28" borderId="0" xfId="1" applyFont="1" applyFill="1"/>
    <xf numFmtId="44" fontId="0" fillId="0" borderId="0" xfId="1" applyFont="1" applyFill="1"/>
    <xf numFmtId="0" fontId="11" fillId="0" borderId="17" xfId="0" applyFont="1" applyBorder="1"/>
    <xf numFmtId="44" fontId="11" fillId="29" borderId="0" xfId="1" applyFont="1" applyFill="1"/>
    <xf numFmtId="44" fontId="1" fillId="0" borderId="0" xfId="1" applyFont="1" applyFill="1"/>
    <xf numFmtId="0" fontId="0" fillId="0" borderId="0" xfId="0" applyAlignment="1">
      <alignment horizontal="center" vertical="center"/>
    </xf>
    <xf numFmtId="49" fontId="0" fillId="4" borderId="0" xfId="0" applyNumberFormat="1" applyFill="1" applyAlignment="1">
      <alignment horizontal="center" vertical="center"/>
    </xf>
    <xf numFmtId="0" fontId="25" fillId="0" borderId="0" xfId="0" applyFont="1" applyAlignment="1">
      <alignment horizontal="center"/>
    </xf>
    <xf numFmtId="0" fontId="24" fillId="49" borderId="0" xfId="0" applyFont="1" applyFill="1" applyAlignment="1">
      <alignment horizontal="center" vertical="center"/>
    </xf>
    <xf numFmtId="0" fontId="24" fillId="49" borderId="0" xfId="0" applyFont="1" applyFill="1" applyAlignment="1">
      <alignment vertical="center"/>
    </xf>
    <xf numFmtId="0" fontId="24" fillId="0" borderId="0" xfId="0" applyFont="1"/>
    <xf numFmtId="10" fontId="29" fillId="0" borderId="0" xfId="2" applyNumberFormat="1" applyFont="1"/>
    <xf numFmtId="0" fontId="6" fillId="0" borderId="0" xfId="0" applyFont="1"/>
    <xf numFmtId="0" fontId="6" fillId="0" borderId="0" xfId="0" applyFont="1" applyAlignment="1">
      <alignment horizontal="center"/>
    </xf>
    <xf numFmtId="0" fontId="49" fillId="0" borderId="0" xfId="0" applyFont="1"/>
    <xf numFmtId="44" fontId="18" fillId="5" borderId="0" xfId="4" applyNumberFormat="1" applyFont="1" applyFill="1"/>
    <xf numFmtId="0" fontId="51" fillId="11" borderId="0" xfId="0" applyFont="1" applyFill="1" applyAlignment="1">
      <alignment horizontal="center"/>
    </xf>
    <xf numFmtId="40" fontId="1" fillId="0" borderId="0" xfId="0" applyNumberFormat="1" applyFont="1"/>
    <xf numFmtId="0" fontId="0" fillId="4" borderId="0" xfId="0" applyFill="1"/>
    <xf numFmtId="0" fontId="53" fillId="0" borderId="0" xfId="0" applyFont="1"/>
    <xf numFmtId="44" fontId="53" fillId="4" borderId="0" xfId="1" applyFont="1" applyFill="1"/>
    <xf numFmtId="44" fontId="53" fillId="5" borderId="0" xfId="1" applyFont="1" applyFill="1"/>
    <xf numFmtId="44" fontId="53" fillId="0" borderId="0" xfId="1" applyFont="1"/>
    <xf numFmtId="44" fontId="53" fillId="9" borderId="0" xfId="1" applyFont="1" applyFill="1"/>
    <xf numFmtId="0" fontId="54" fillId="0" borderId="0" xfId="5" applyFont="1" applyAlignment="1" applyProtection="1">
      <alignment horizontal="left" indent="1"/>
    </xf>
    <xf numFmtId="44" fontId="55" fillId="0" borderId="0" xfId="1" applyFont="1"/>
    <xf numFmtId="44" fontId="56" fillId="9" borderId="0" xfId="1" applyFont="1" applyFill="1"/>
    <xf numFmtId="0" fontId="53" fillId="0" borderId="0" xfId="0" applyFont="1" applyAlignment="1">
      <alignment horizontal="left" indent="1"/>
    </xf>
    <xf numFmtId="44" fontId="53" fillId="0" borderId="0" xfId="1" applyFont="1" applyFill="1"/>
    <xf numFmtId="44" fontId="53" fillId="12" borderId="0" xfId="1" applyFont="1" applyFill="1"/>
    <xf numFmtId="44" fontId="56" fillId="12" borderId="0" xfId="1" applyFont="1" applyFill="1"/>
    <xf numFmtId="0" fontId="57" fillId="0" borderId="0" xfId="5" applyFont="1" applyAlignment="1" applyProtection="1">
      <alignment horizontal="left" indent="1"/>
    </xf>
    <xf numFmtId="0" fontId="53" fillId="0" borderId="0" xfId="0" applyFont="1" applyAlignment="1">
      <alignment horizontal="left"/>
    </xf>
    <xf numFmtId="0" fontId="57" fillId="0" borderId="0" xfId="5" applyFont="1" applyFill="1" applyAlignment="1" applyProtection="1">
      <alignment horizontal="left" indent="1"/>
    </xf>
    <xf numFmtId="0" fontId="58" fillId="0" borderId="0" xfId="0" applyFont="1"/>
    <xf numFmtId="0" fontId="56" fillId="0" borderId="0" xfId="0" applyFont="1" applyAlignment="1">
      <alignment horizontal="left" indent="1"/>
    </xf>
    <xf numFmtId="44" fontId="56" fillId="0" borderId="0" xfId="1" applyFont="1" applyFill="1"/>
    <xf numFmtId="44" fontId="56" fillId="4" borderId="0" xfId="1" applyFont="1" applyFill="1"/>
    <xf numFmtId="164" fontId="53" fillId="9" borderId="0" xfId="1" applyNumberFormat="1" applyFont="1" applyFill="1"/>
    <xf numFmtId="164" fontId="53" fillId="12" borderId="0" xfId="1" applyNumberFormat="1" applyFont="1" applyFill="1"/>
    <xf numFmtId="44" fontId="53" fillId="9" borderId="0" xfId="0" applyNumberFormat="1" applyFont="1" applyFill="1"/>
    <xf numFmtId="164" fontId="53" fillId="9" borderId="0" xfId="0" applyNumberFormat="1" applyFont="1" applyFill="1"/>
    <xf numFmtId="0" fontId="59" fillId="0" borderId="0" xfId="0" applyFont="1" applyAlignment="1">
      <alignment horizontal="center" vertical="center"/>
    </xf>
    <xf numFmtId="0" fontId="60" fillId="0" borderId="0" xfId="0" applyFont="1"/>
    <xf numFmtId="0" fontId="61" fillId="0" borderId="0" xfId="0" applyFont="1" applyAlignment="1">
      <alignment horizontal="center" vertical="center"/>
    </xf>
    <xf numFmtId="0" fontId="60" fillId="0" borderId="0" xfId="0" applyFont="1" applyAlignment="1">
      <alignment horizontal="left" vertical="center"/>
    </xf>
    <xf numFmtId="0" fontId="31" fillId="0" borderId="0" xfId="0" applyFont="1"/>
    <xf numFmtId="0" fontId="64" fillId="0" borderId="0" xfId="5" applyFont="1" applyAlignment="1" applyProtection="1"/>
    <xf numFmtId="44" fontId="19" fillId="0" borderId="0" xfId="4" applyNumberFormat="1" applyFont="1" applyFill="1"/>
    <xf numFmtId="44" fontId="0" fillId="48" borderId="0" xfId="1" applyFont="1" applyFill="1"/>
    <xf numFmtId="44" fontId="19" fillId="4" borderId="0" xfId="1" applyFont="1" applyFill="1"/>
    <xf numFmtId="0" fontId="11" fillId="48" borderId="0" xfId="0" applyFont="1" applyFill="1"/>
    <xf numFmtId="0" fontId="6" fillId="0" borderId="0" xfId="3927" applyFont="1"/>
    <xf numFmtId="49" fontId="0" fillId="0" borderId="0" xfId="0" applyNumberFormat="1" applyAlignment="1">
      <alignment horizontal="center"/>
    </xf>
    <xf numFmtId="44" fontId="0" fillId="51" borderId="0" xfId="1" applyFont="1" applyFill="1"/>
    <xf numFmtId="0" fontId="69" fillId="0" borderId="0" xfId="0" applyFont="1"/>
    <xf numFmtId="0" fontId="25" fillId="0" borderId="0" xfId="0" applyFont="1"/>
    <xf numFmtId="0" fontId="53" fillId="0" borderId="38" xfId="0" applyFont="1" applyBorder="1" applyAlignment="1">
      <alignment horizontal="center" vertical="center"/>
    </xf>
    <xf numFmtId="0" fontId="53" fillId="0" borderId="39" xfId="0" applyFont="1" applyBorder="1" applyAlignment="1">
      <alignment horizontal="center" vertical="center"/>
    </xf>
    <xf numFmtId="166" fontId="53" fillId="0" borderId="35" xfId="1" applyNumberFormat="1" applyFont="1" applyBorder="1"/>
    <xf numFmtId="166" fontId="53" fillId="0" borderId="36" xfId="1" applyNumberFormat="1" applyFont="1" applyBorder="1"/>
    <xf numFmtId="166" fontId="53" fillId="0" borderId="37" xfId="1" applyNumberFormat="1" applyFont="1" applyBorder="1"/>
    <xf numFmtId="166" fontId="53" fillId="0" borderId="26" xfId="1" applyNumberFormat="1" applyFont="1" applyBorder="1"/>
    <xf numFmtId="166" fontId="53" fillId="0" borderId="0" xfId="1" applyNumberFormat="1" applyFont="1" applyBorder="1"/>
    <xf numFmtId="166" fontId="53" fillId="0" borderId="27" xfId="1" applyNumberFormat="1" applyFont="1" applyBorder="1"/>
    <xf numFmtId="166" fontId="53" fillId="0" borderId="26" xfId="1" applyNumberFormat="1" applyFont="1" applyFill="1" applyBorder="1"/>
    <xf numFmtId="166" fontId="53" fillId="0" borderId="0" xfId="1" applyNumberFormat="1" applyFont="1" applyFill="1" applyBorder="1"/>
    <xf numFmtId="166" fontId="53" fillId="52" borderId="26" xfId="1" applyNumberFormat="1" applyFont="1" applyFill="1" applyBorder="1"/>
    <xf numFmtId="166" fontId="53" fillId="52" borderId="0" xfId="1" applyNumberFormat="1" applyFont="1" applyFill="1" applyBorder="1"/>
    <xf numFmtId="166" fontId="53" fillId="9" borderId="0" xfId="1" applyNumberFormat="1" applyFont="1" applyFill="1" applyBorder="1"/>
    <xf numFmtId="166" fontId="53" fillId="4" borderId="26" xfId="1" applyNumberFormat="1" applyFont="1" applyFill="1" applyBorder="1"/>
    <xf numFmtId="166" fontId="53" fillId="4" borderId="0" xfId="1" applyNumberFormat="1" applyFont="1" applyFill="1" applyBorder="1"/>
    <xf numFmtId="166" fontId="53" fillId="30" borderId="28" xfId="1" applyNumberFormat="1" applyFont="1" applyFill="1" applyBorder="1"/>
    <xf numFmtId="166" fontId="53" fillId="30" borderId="29" xfId="1" applyNumberFormat="1" applyFont="1" applyFill="1" applyBorder="1"/>
    <xf numFmtId="166" fontId="53" fillId="9" borderId="29" xfId="1" applyNumberFormat="1" applyFont="1" applyFill="1" applyBorder="1"/>
    <xf numFmtId="44" fontId="19" fillId="12" borderId="0" xfId="4" applyNumberFormat="1" applyFont="1" applyFill="1"/>
    <xf numFmtId="44" fontId="0" fillId="13" borderId="0" xfId="1" applyFont="1" applyFill="1"/>
    <xf numFmtId="44" fontId="0" fillId="12" borderId="2" xfId="1" applyFont="1" applyFill="1" applyBorder="1"/>
    <xf numFmtId="0" fontId="6" fillId="0" borderId="0" xfId="0" applyFont="1" applyAlignment="1">
      <alignment horizontal="left"/>
    </xf>
    <xf numFmtId="44" fontId="13" fillId="13" borderId="40" xfId="0" quotePrefix="1" applyNumberFormat="1" applyFont="1" applyFill="1" applyBorder="1"/>
    <xf numFmtId="0" fontId="1" fillId="0" borderId="0" xfId="0" applyFont="1" applyAlignment="1">
      <alignment horizontal="center" vertical="center" wrapText="1"/>
    </xf>
    <xf numFmtId="166" fontId="53" fillId="12" borderId="27" xfId="1" applyNumberFormat="1" applyFont="1" applyFill="1" applyBorder="1"/>
    <xf numFmtId="166" fontId="53" fillId="12" borderId="30" xfId="1" applyNumberFormat="1" applyFont="1" applyFill="1" applyBorder="1"/>
    <xf numFmtId="0" fontId="1" fillId="0" borderId="0" xfId="0" applyFont="1" applyAlignment="1">
      <alignment horizontal="left" indent="1"/>
    </xf>
    <xf numFmtId="0" fontId="73" fillId="0" borderId="0" xfId="0" applyFont="1" applyAlignment="1">
      <alignment horizontal="left" indent="1"/>
    </xf>
    <xf numFmtId="44" fontId="0" fillId="56" borderId="0" xfId="1" applyFont="1" applyFill="1"/>
    <xf numFmtId="44" fontId="0" fillId="56" borderId="2" xfId="1" applyFont="1" applyFill="1" applyBorder="1"/>
    <xf numFmtId="0" fontId="0" fillId="56" borderId="0" xfId="0" applyFill="1"/>
    <xf numFmtId="0" fontId="0" fillId="8" borderId="0" xfId="0" applyFill="1" applyAlignment="1">
      <alignment horizontal="right"/>
    </xf>
    <xf numFmtId="44" fontId="1" fillId="8" borderId="0" xfId="0" applyNumberFormat="1" applyFont="1" applyFill="1"/>
    <xf numFmtId="0" fontId="10" fillId="0" borderId="0" xfId="0" applyFont="1" applyAlignment="1">
      <alignment horizontal="center"/>
    </xf>
    <xf numFmtId="0" fontId="11" fillId="56" borderId="0" xfId="0" applyFont="1" applyFill="1"/>
    <xf numFmtId="44" fontId="18" fillId="5" borderId="0" xfId="1" applyFont="1" applyFill="1"/>
    <xf numFmtId="0" fontId="79" fillId="30" borderId="0" xfId="0" quotePrefix="1" applyFont="1" applyFill="1" applyAlignment="1">
      <alignment horizontal="center" vertical="center"/>
    </xf>
    <xf numFmtId="0" fontId="79" fillId="0" borderId="0" xfId="0" applyFont="1" applyAlignment="1">
      <alignment horizontal="right"/>
    </xf>
    <xf numFmtId="0" fontId="16" fillId="58" borderId="25" xfId="80" applyFont="1" applyFill="1" applyBorder="1" applyAlignment="1">
      <alignment horizontal="center" vertical="center" wrapText="1"/>
    </xf>
    <xf numFmtId="0" fontId="79" fillId="0" borderId="34" xfId="0" applyFont="1" applyBorder="1" applyAlignment="1">
      <alignment horizontal="center" vertical="center"/>
    </xf>
    <xf numFmtId="0" fontId="79" fillId="0" borderId="7" xfId="0" applyFont="1" applyBorder="1" applyAlignment="1">
      <alignment horizontal="center" vertical="center"/>
    </xf>
    <xf numFmtId="0" fontId="12" fillId="0" borderId="0" xfId="0" applyFont="1" applyAlignment="1">
      <alignment horizontal="center" vertical="center"/>
    </xf>
    <xf numFmtId="0" fontId="0" fillId="53" borderId="0" xfId="0" applyFill="1"/>
    <xf numFmtId="49" fontId="12" fillId="0" borderId="0" xfId="0" applyNumberFormat="1" applyFont="1" applyAlignment="1">
      <alignment horizontal="center"/>
    </xf>
    <xf numFmtId="0" fontId="10" fillId="56" borderId="0" xfId="0" applyFont="1" applyFill="1"/>
    <xf numFmtId="44" fontId="6" fillId="0" borderId="0" xfId="5335" quotePrefix="1" applyNumberFormat="1" applyFont="1" applyAlignment="1">
      <alignment horizontal="right"/>
    </xf>
    <xf numFmtId="0" fontId="6" fillId="0" borderId="0" xfId="3921" applyFont="1" applyAlignment="1">
      <alignment horizontal="center" vertical="center"/>
    </xf>
    <xf numFmtId="0" fontId="2" fillId="0" borderId="0" xfId="0" applyFont="1"/>
    <xf numFmtId="0" fontId="85" fillId="0" borderId="0" xfId="3921" applyFont="1" applyAlignment="1">
      <alignment horizontal="center" vertical="center"/>
    </xf>
    <xf numFmtId="0" fontId="2" fillId="0" borderId="0" xfId="0" applyFont="1" applyAlignment="1">
      <alignment horizontal="center" vertical="center"/>
    </xf>
    <xf numFmtId="167" fontId="2" fillId="0" borderId="0" xfId="9" applyNumberFormat="1" applyFont="1"/>
    <xf numFmtId="167" fontId="6" fillId="0" borderId="0" xfId="0" applyNumberFormat="1" applyFont="1"/>
    <xf numFmtId="167" fontId="2" fillId="0" borderId="0" xfId="5337" applyNumberFormat="1"/>
    <xf numFmtId="167" fontId="2" fillId="0" borderId="0" xfId="0" applyNumberFormat="1" applyFont="1"/>
    <xf numFmtId="0" fontId="6" fillId="29" borderId="0" xfId="0" applyFont="1" applyFill="1"/>
    <xf numFmtId="0" fontId="6" fillId="0" borderId="0" xfId="0" quotePrefix="1" applyFont="1"/>
    <xf numFmtId="0" fontId="2" fillId="29" borderId="0" xfId="3920" applyFill="1"/>
    <xf numFmtId="0" fontId="84" fillId="48" borderId="0" xfId="0" applyFont="1" applyFill="1" applyAlignment="1">
      <alignment horizontal="center" vertical="center"/>
    </xf>
    <xf numFmtId="0" fontId="2" fillId="48" borderId="0" xfId="0" applyFont="1" applyFill="1" applyAlignment="1">
      <alignment horizontal="center" vertical="center"/>
    </xf>
    <xf numFmtId="167" fontId="6" fillId="0" borderId="0" xfId="9" applyNumberFormat="1" applyFont="1" applyFill="1"/>
    <xf numFmtId="167" fontId="68" fillId="0" borderId="0" xfId="9" applyNumberFormat="1" applyFont="1" applyFill="1"/>
    <xf numFmtId="167" fontId="2" fillId="0" borderId="0" xfId="9" applyNumberFormat="1" applyFont="1" applyFill="1"/>
    <xf numFmtId="43" fontId="0" fillId="4" borderId="0" xfId="9" applyFont="1" applyFill="1" applyAlignment="1">
      <alignment horizontal="center" vertical="center" wrapText="1"/>
    </xf>
    <xf numFmtId="167" fontId="2" fillId="4" borderId="0" xfId="9" applyNumberFormat="1" applyFont="1" applyFill="1"/>
    <xf numFmtId="0" fontId="53" fillId="50" borderId="11" xfId="0" applyFont="1" applyFill="1" applyBorder="1" applyAlignment="1">
      <alignment vertical="center" wrapText="1"/>
    </xf>
    <xf numFmtId="0" fontId="49" fillId="50" borderId="33" xfId="0" applyFont="1" applyFill="1" applyBorder="1" applyAlignment="1">
      <alignment vertical="center" wrapText="1"/>
    </xf>
    <xf numFmtId="0" fontId="10" fillId="55" borderId="41" xfId="0" applyFont="1" applyFill="1" applyBorder="1" applyAlignment="1">
      <alignment vertical="center" wrapText="1"/>
    </xf>
    <xf numFmtId="0" fontId="53" fillId="48" borderId="41" xfId="0" applyFont="1" applyFill="1" applyBorder="1" applyAlignment="1">
      <alignment vertical="center" wrapText="1"/>
    </xf>
    <xf numFmtId="0" fontId="53" fillId="4" borderId="41" xfId="0" applyFont="1" applyFill="1" applyBorder="1" applyAlignment="1">
      <alignment vertical="center" wrapText="1"/>
    </xf>
    <xf numFmtId="0" fontId="81" fillId="50" borderId="41" xfId="0" applyFont="1" applyFill="1" applyBorder="1" applyAlignment="1">
      <alignment vertical="center" wrapText="1"/>
    </xf>
    <xf numFmtId="0" fontId="50" fillId="50" borderId="34" xfId="0" applyFont="1" applyFill="1" applyBorder="1" applyAlignment="1">
      <alignment vertical="center" wrapText="1"/>
    </xf>
    <xf numFmtId="0" fontId="53" fillId="50" borderId="41" xfId="0" applyFont="1" applyFill="1" applyBorder="1" applyAlignment="1">
      <alignment horizontal="left" vertical="center" wrapText="1"/>
    </xf>
    <xf numFmtId="0" fontId="53" fillId="50" borderId="42" xfId="0" applyFont="1" applyFill="1" applyBorder="1" applyAlignment="1">
      <alignment horizontal="left" vertical="center" wrapText="1"/>
    </xf>
    <xf numFmtId="0" fontId="0" fillId="55" borderId="0" xfId="0" applyFill="1"/>
    <xf numFmtId="0" fontId="52" fillId="60" borderId="31" xfId="41" applyFont="1" applyFill="1" applyBorder="1" applyAlignment="1">
      <alignment horizontal="left" vertical="center"/>
    </xf>
    <xf numFmtId="0" fontId="52" fillId="60" borderId="8" xfId="41" applyFont="1" applyFill="1" applyBorder="1" applyAlignment="1">
      <alignment horizontal="left" vertical="center"/>
    </xf>
    <xf numFmtId="0" fontId="13" fillId="55" borderId="8" xfId="0" applyFont="1" applyFill="1" applyBorder="1"/>
    <xf numFmtId="0" fontId="0" fillId="61" borderId="0" xfId="0" applyFill="1"/>
    <xf numFmtId="0" fontId="2" fillId="0" borderId="0" xfId="0" applyFont="1" applyAlignment="1">
      <alignment horizontal="center"/>
    </xf>
    <xf numFmtId="167" fontId="0" fillId="0" borderId="0" xfId="9" applyNumberFormat="1" applyFont="1"/>
    <xf numFmtId="0" fontId="6" fillId="55" borderId="0" xfId="0" applyFont="1" applyFill="1"/>
    <xf numFmtId="0" fontId="6" fillId="55" borderId="0" xfId="0" quotePrefix="1" applyFont="1" applyFill="1" applyAlignment="1">
      <alignment horizontal="left"/>
    </xf>
    <xf numFmtId="43" fontId="0" fillId="0" borderId="0" xfId="9" applyFont="1" applyFill="1"/>
    <xf numFmtId="0" fontId="2" fillId="53" borderId="0" xfId="0" applyFont="1" applyFill="1" applyAlignment="1">
      <alignment horizontal="center" vertical="center" wrapText="1"/>
    </xf>
    <xf numFmtId="167" fontId="0" fillId="4" borderId="0" xfId="9" applyNumberFormat="1" applyFont="1" applyFill="1"/>
    <xf numFmtId="0" fontId="0" fillId="0" borderId="0" xfId="0" applyAlignment="1">
      <alignment wrapText="1"/>
    </xf>
    <xf numFmtId="0" fontId="11" fillId="0" borderId="0" xfId="0" applyFont="1" applyAlignment="1">
      <alignment wrapText="1"/>
    </xf>
    <xf numFmtId="44" fontId="0" fillId="0" borderId="0" xfId="1" applyFont="1" applyAlignment="1">
      <alignment wrapText="1"/>
    </xf>
    <xf numFmtId="44" fontId="0" fillId="15" borderId="6" xfId="8" applyNumberFormat="1" applyFont="1" applyAlignment="1">
      <alignment vertical="center"/>
    </xf>
    <xf numFmtId="43" fontId="0" fillId="13" borderId="32" xfId="9" quotePrefix="1" applyFont="1" applyFill="1" applyBorder="1" applyAlignment="1">
      <alignment vertical="center"/>
    </xf>
    <xf numFmtId="44" fontId="0" fillId="0" borderId="0" xfId="1" applyFont="1" applyAlignment="1">
      <alignment vertical="center"/>
    </xf>
    <xf numFmtId="44" fontId="0" fillId="62" borderId="11" xfId="1" applyFont="1" applyFill="1" applyBorder="1"/>
    <xf numFmtId="0" fontId="0" fillId="62" borderId="0" xfId="0" applyFill="1"/>
    <xf numFmtId="0" fontId="0" fillId="62" borderId="12" xfId="0" applyFill="1" applyBorder="1"/>
    <xf numFmtId="43" fontId="19" fillId="62" borderId="11" xfId="9" applyFont="1" applyFill="1" applyBorder="1"/>
    <xf numFmtId="44" fontId="19" fillId="62" borderId="11" xfId="4" applyNumberFormat="1" applyFont="1" applyFill="1" applyBorder="1"/>
    <xf numFmtId="44" fontId="19" fillId="62" borderId="0" xfId="4" applyNumberFormat="1" applyFont="1" applyFill="1" applyBorder="1"/>
    <xf numFmtId="44" fontId="19" fillId="62" borderId="12" xfId="4" applyNumberFormat="1" applyFont="1" applyFill="1" applyBorder="1"/>
    <xf numFmtId="0" fontId="0" fillId="62" borderId="11" xfId="0" applyFill="1" applyBorder="1"/>
    <xf numFmtId="0" fontId="0" fillId="62" borderId="2" xfId="0" applyFill="1" applyBorder="1" applyAlignment="1">
      <alignment horizontal="center" vertical="center"/>
    </xf>
    <xf numFmtId="0" fontId="0" fillId="0" borderId="12" xfId="0" applyBorder="1"/>
    <xf numFmtId="0" fontId="0" fillId="63" borderId="2" xfId="0" applyFill="1" applyBorder="1" applyAlignment="1">
      <alignment horizontal="center" wrapText="1"/>
    </xf>
    <xf numFmtId="44" fontId="2" fillId="0" borderId="0" xfId="1" applyFont="1" applyFill="1" applyAlignment="1">
      <alignment vertical="top"/>
    </xf>
    <xf numFmtId="0" fontId="0" fillId="0" borderId="0" xfId="0" applyAlignment="1">
      <alignment vertical="top"/>
    </xf>
    <xf numFmtId="0" fontId="0" fillId="0" borderId="17" xfId="0" applyBorder="1"/>
    <xf numFmtId="0" fontId="29" fillId="56" borderId="0" xfId="0" applyFont="1" applyFill="1"/>
    <xf numFmtId="0" fontId="0" fillId="56" borderId="0" xfId="0" applyFill="1" applyAlignment="1">
      <alignment vertical="center"/>
    </xf>
    <xf numFmtId="0" fontId="7" fillId="0" borderId="0" xfId="5" applyFill="1" applyAlignment="1" applyProtection="1">
      <alignment horizontal="left" indent="1"/>
    </xf>
    <xf numFmtId="0" fontId="88" fillId="0" borderId="0" xfId="0" applyFont="1"/>
    <xf numFmtId="0" fontId="6" fillId="64" borderId="0" xfId="0" quotePrefix="1" applyFont="1" applyFill="1" applyAlignment="1">
      <alignment horizontal="center" vertical="center"/>
    </xf>
    <xf numFmtId="38" fontId="17" fillId="0" borderId="0" xfId="0" applyNumberFormat="1" applyFont="1"/>
    <xf numFmtId="0" fontId="6" fillId="64" borderId="0" xfId="0" quotePrefix="1" applyFont="1" applyFill="1" applyAlignment="1">
      <alignment horizontal="left" vertical="top"/>
    </xf>
    <xf numFmtId="0" fontId="6" fillId="65" borderId="0" xfId="0" quotePrefix="1" applyFont="1" applyFill="1" applyAlignment="1">
      <alignment horizontal="center" vertical="center"/>
    </xf>
    <xf numFmtId="0" fontId="6" fillId="64" borderId="0" xfId="0" quotePrefix="1" applyFont="1" applyFill="1" applyAlignment="1">
      <alignment horizontal="left" vertical="center"/>
    </xf>
    <xf numFmtId="0" fontId="25" fillId="0" borderId="0" xfId="246" applyFont="1"/>
    <xf numFmtId="0" fontId="6" fillId="0" borderId="0" xfId="246" applyFont="1"/>
    <xf numFmtId="0" fontId="0" fillId="0" borderId="0" xfId="0" quotePrefix="1" applyAlignment="1">
      <alignment horizontal="left"/>
    </xf>
    <xf numFmtId="0" fontId="6" fillId="0" borderId="0" xfId="246" quotePrefix="1" applyFont="1"/>
    <xf numFmtId="0" fontId="2" fillId="0" borderId="0" xfId="5337" applyAlignment="1">
      <alignment horizontal="center" vertical="center" wrapText="1"/>
    </xf>
    <xf numFmtId="0" fontId="2" fillId="0" borderId="0" xfId="5337" applyAlignment="1">
      <alignment horizontal="center" vertical="center"/>
    </xf>
    <xf numFmtId="167" fontId="0" fillId="0" borderId="0" xfId="0" applyNumberFormat="1"/>
    <xf numFmtId="0" fontId="89" fillId="0" borderId="0" xfId="0" applyFont="1"/>
    <xf numFmtId="0" fontId="53" fillId="4" borderId="41" xfId="0" applyFont="1" applyFill="1" applyBorder="1" applyAlignment="1">
      <alignment horizontal="left" vertical="center" wrapText="1"/>
    </xf>
    <xf numFmtId="0" fontId="62" fillId="68" borderId="38" xfId="0" applyFont="1" applyFill="1" applyBorder="1" applyAlignment="1">
      <alignment vertical="center" wrapText="1"/>
    </xf>
    <xf numFmtId="0" fontId="63" fillId="68" borderId="43" xfId="0" applyFont="1" applyFill="1" applyBorder="1" applyAlignment="1">
      <alignment vertical="center" wrapText="1"/>
    </xf>
    <xf numFmtId="0" fontId="53" fillId="68" borderId="44" xfId="0" applyFont="1" applyFill="1" applyBorder="1" applyAlignment="1">
      <alignment horizontal="left" vertical="center" wrapText="1"/>
    </xf>
    <xf numFmtId="0" fontId="53" fillId="68" borderId="45" xfId="0" applyFont="1" applyFill="1" applyBorder="1" applyAlignment="1">
      <alignment horizontal="left" vertical="center" wrapText="1"/>
    </xf>
    <xf numFmtId="0" fontId="53" fillId="68" borderId="43" xfId="0" applyFont="1" applyFill="1" applyBorder="1" applyAlignment="1">
      <alignment horizontal="left" vertical="center" wrapText="1"/>
    </xf>
    <xf numFmtId="0" fontId="49" fillId="69" borderId="46" xfId="0" applyFont="1" applyFill="1" applyBorder="1" applyAlignment="1">
      <alignment vertical="center" wrapText="1"/>
    </xf>
    <xf numFmtId="0" fontId="10" fillId="54" borderId="0" xfId="0" applyFont="1" applyFill="1" applyAlignment="1">
      <alignment horizontal="centerContinuous" vertical="center" wrapText="1"/>
    </xf>
    <xf numFmtId="0" fontId="0" fillId="54" borderId="0" xfId="0" applyFill="1" applyAlignment="1">
      <alignment horizontal="centerContinuous" vertical="center"/>
    </xf>
    <xf numFmtId="166" fontId="0" fillId="0" borderId="0" xfId="0" applyNumberFormat="1"/>
    <xf numFmtId="40" fontId="12" fillId="0" borderId="0" xfId="0" applyNumberFormat="1" applyFont="1"/>
    <xf numFmtId="0" fontId="90" fillId="0" borderId="0" xfId="0" applyFont="1"/>
    <xf numFmtId="0" fontId="7" fillId="0" borderId="0" xfId="5" applyAlignment="1" applyProtection="1">
      <alignment horizontal="left" indent="1"/>
    </xf>
    <xf numFmtId="0" fontId="7" fillId="0" borderId="0" xfId="5" applyFill="1" applyAlignment="1" applyProtection="1"/>
    <xf numFmtId="0" fontId="91" fillId="0" borderId="0" xfId="0" applyFont="1"/>
    <xf numFmtId="44" fontId="91" fillId="0" borderId="0" xfId="1" applyFont="1" applyFill="1"/>
    <xf numFmtId="0" fontId="92" fillId="0" borderId="0" xfId="0" applyFont="1"/>
    <xf numFmtId="0" fontId="93" fillId="0" borderId="0" xfId="0" applyFont="1"/>
    <xf numFmtId="44" fontId="53" fillId="0" borderId="0" xfId="1" applyFont="1" applyFill="1" applyBorder="1"/>
    <xf numFmtId="44" fontId="95" fillId="0" borderId="38" xfId="4" applyNumberFormat="1" applyFont="1" applyFill="1" applyBorder="1" applyAlignment="1">
      <alignment horizontal="center"/>
    </xf>
    <xf numFmtId="44" fontId="93" fillId="0" borderId="45" xfId="1" applyFont="1" applyFill="1" applyBorder="1"/>
    <xf numFmtId="44" fontId="94" fillId="0" borderId="45" xfId="4" applyNumberFormat="1" applyFont="1" applyFill="1" applyBorder="1"/>
    <xf numFmtId="0" fontId="93" fillId="0" borderId="45" xfId="0" applyFont="1" applyBorder="1"/>
    <xf numFmtId="44" fontId="96" fillId="0" borderId="45" xfId="1" applyFont="1" applyFill="1" applyBorder="1"/>
    <xf numFmtId="44" fontId="56" fillId="0" borderId="0" xfId="1" applyFont="1" applyFill="1" applyBorder="1"/>
    <xf numFmtId="0" fontId="0" fillId="0" borderId="45" xfId="0" applyBorder="1"/>
    <xf numFmtId="0" fontId="56" fillId="0" borderId="0" xfId="0" applyFont="1" applyAlignment="1">
      <alignment horizontal="left" vertical="center" readingOrder="1"/>
    </xf>
    <xf numFmtId="44" fontId="56" fillId="9" borderId="2" xfId="1" applyFont="1" applyFill="1" applyBorder="1"/>
    <xf numFmtId="44" fontId="53" fillId="9" borderId="2" xfId="0" applyNumberFormat="1" applyFont="1" applyFill="1" applyBorder="1"/>
    <xf numFmtId="44" fontId="93" fillId="55" borderId="45" xfId="1" applyFont="1" applyFill="1" applyBorder="1"/>
    <xf numFmtId="0" fontId="49" fillId="0" borderId="0" xfId="0" applyFont="1" applyAlignment="1">
      <alignment vertical="center"/>
    </xf>
    <xf numFmtId="0" fontId="6" fillId="0" borderId="0" xfId="3921" applyFont="1"/>
    <xf numFmtId="43" fontId="6" fillId="0" borderId="0" xfId="3921" applyNumberFormat="1" applyFont="1"/>
    <xf numFmtId="0" fontId="6" fillId="0" borderId="0" xfId="0" applyFont="1" applyAlignment="1">
      <alignment vertical="top"/>
    </xf>
    <xf numFmtId="41" fontId="6" fillId="0" borderId="0" xfId="0" applyNumberFormat="1" applyFont="1"/>
    <xf numFmtId="41" fontId="6" fillId="0" borderId="0" xfId="7" applyNumberFormat="1" applyFont="1"/>
    <xf numFmtId="165" fontId="6" fillId="0" borderId="0" xfId="7" applyNumberFormat="1" applyFont="1"/>
    <xf numFmtId="0" fontId="6" fillId="29" borderId="0" xfId="246" applyFont="1" applyFill="1"/>
    <xf numFmtId="0" fontId="6" fillId="29" borderId="0" xfId="246" quotePrefix="1" applyFont="1" applyFill="1"/>
    <xf numFmtId="0" fontId="25" fillId="0" borderId="0" xfId="0" applyFont="1" applyAlignment="1">
      <alignment vertical="top"/>
    </xf>
    <xf numFmtId="49" fontId="13" fillId="10" borderId="33" xfId="0" applyNumberFormat="1" applyFont="1" applyFill="1" applyBorder="1" applyAlignment="1">
      <alignment horizontal="center"/>
    </xf>
    <xf numFmtId="0" fontId="13" fillId="10" borderId="2" xfId="0" applyFont="1" applyFill="1" applyBorder="1" applyAlignment="1">
      <alignment horizontal="center"/>
    </xf>
    <xf numFmtId="0" fontId="13" fillId="10" borderId="0" xfId="0" applyFont="1" applyFill="1" applyAlignment="1">
      <alignment horizontal="center" vertical="center"/>
    </xf>
    <xf numFmtId="0" fontId="13" fillId="10" borderId="0" xfId="0" applyFont="1" applyFill="1" applyAlignment="1">
      <alignment horizontal="center"/>
    </xf>
    <xf numFmtId="49" fontId="6" fillId="0" borderId="0" xfId="0" applyNumberFormat="1" applyFont="1" applyAlignment="1">
      <alignment horizontal="left"/>
    </xf>
    <xf numFmtId="49" fontId="0" fillId="48" borderId="0" xfId="0" applyNumberFormat="1" applyFill="1" applyAlignment="1">
      <alignment horizontal="left" vertical="center"/>
    </xf>
    <xf numFmtId="0" fontId="0" fillId="48" borderId="0" xfId="0" applyFill="1" applyAlignment="1">
      <alignment horizontal="left" vertical="center"/>
    </xf>
    <xf numFmtId="0" fontId="6" fillId="59" borderId="0" xfId="0" quotePrefix="1" applyFont="1" applyFill="1"/>
    <xf numFmtId="0" fontId="6" fillId="59" borderId="0" xfId="0" applyFont="1" applyFill="1"/>
    <xf numFmtId="0" fontId="0" fillId="67" borderId="0" xfId="0" applyFill="1" applyAlignment="1">
      <alignment horizontal="center" vertical="center"/>
    </xf>
    <xf numFmtId="0" fontId="6" fillId="48" borderId="0" xfId="246" quotePrefix="1" applyFont="1" applyFill="1"/>
    <xf numFmtId="0" fontId="98" fillId="48" borderId="0" xfId="246" applyFont="1" applyFill="1"/>
    <xf numFmtId="49" fontId="0" fillId="0" borderId="0" xfId="0" applyNumberFormat="1" applyAlignment="1">
      <alignment horizontal="left" vertical="center"/>
    </xf>
    <xf numFmtId="0" fontId="0" fillId="29" borderId="0" xfId="3920" applyFont="1" applyFill="1"/>
    <xf numFmtId="49" fontId="0" fillId="29" borderId="0" xfId="0" applyNumberFormat="1" applyFill="1" applyAlignment="1">
      <alignment horizontal="left"/>
    </xf>
    <xf numFmtId="0" fontId="6" fillId="48" borderId="0" xfId="246" applyFont="1" applyFill="1"/>
    <xf numFmtId="49" fontId="6" fillId="29" borderId="0" xfId="3927" applyNumberFormat="1" applyFont="1" applyFill="1" applyAlignment="1">
      <alignment horizontal="left"/>
    </xf>
    <xf numFmtId="0" fontId="0" fillId="29" borderId="0" xfId="0" applyFill="1" applyAlignment="1">
      <alignment horizontal="left"/>
    </xf>
    <xf numFmtId="0" fontId="6" fillId="0" borderId="5" xfId="0" applyFont="1" applyBorder="1" applyAlignment="1">
      <alignment horizontal="left"/>
    </xf>
    <xf numFmtId="0" fontId="12" fillId="0" borderId="2" xfId="0" applyFont="1" applyBorder="1" applyAlignment="1">
      <alignment horizontal="center" vertical="center"/>
    </xf>
    <xf numFmtId="49" fontId="13" fillId="10" borderId="33" xfId="0" applyNumberFormat="1" applyFont="1" applyFill="1" applyBorder="1" applyAlignment="1">
      <alignment horizontal="center" vertical="center"/>
    </xf>
    <xf numFmtId="49" fontId="6" fillId="0" borderId="0" xfId="0" applyNumberFormat="1" applyFont="1" applyAlignment="1">
      <alignment horizontal="center" vertical="center"/>
    </xf>
    <xf numFmtId="0" fontId="6" fillId="29" borderId="0" xfId="0" applyFont="1" applyFill="1" applyAlignment="1">
      <alignment horizontal="center" vertical="center"/>
    </xf>
    <xf numFmtId="49" fontId="0" fillId="48" borderId="0" xfId="0" applyNumberFormat="1" applyFill="1" applyAlignment="1">
      <alignment horizontal="center" vertical="center"/>
    </xf>
    <xf numFmtId="0" fontId="6" fillId="59" borderId="0" xfId="0" quotePrefix="1" applyFont="1" applyFill="1" applyAlignment="1">
      <alignment horizontal="center" vertical="center"/>
    </xf>
    <xf numFmtId="0" fontId="6" fillId="59" borderId="0" xfId="0" applyFont="1" applyFill="1" applyAlignment="1">
      <alignment horizontal="center" vertical="center"/>
    </xf>
    <xf numFmtId="0" fontId="6" fillId="48" borderId="0" xfId="246" quotePrefix="1" applyFont="1" applyFill="1" applyAlignment="1">
      <alignment horizontal="center" vertical="center"/>
    </xf>
    <xf numFmtId="49" fontId="0" fillId="0" borderId="0" xfId="0" applyNumberFormat="1" applyAlignment="1">
      <alignment horizontal="center" vertical="center"/>
    </xf>
    <xf numFmtId="0" fontId="0" fillId="29" borderId="0" xfId="3920" applyFont="1" applyFill="1" applyAlignment="1">
      <alignment horizontal="center" vertical="center"/>
    </xf>
    <xf numFmtId="49" fontId="0" fillId="29" borderId="0" xfId="0" applyNumberFormat="1" applyFill="1" applyAlignment="1">
      <alignment horizontal="center" vertical="center"/>
    </xf>
    <xf numFmtId="0" fontId="6" fillId="29" borderId="0" xfId="246" applyFont="1" applyFill="1" applyAlignment="1">
      <alignment horizontal="center" vertical="center"/>
    </xf>
    <xf numFmtId="49" fontId="6" fillId="29" borderId="0" xfId="3927" applyNumberFormat="1" applyFont="1" applyFill="1" applyAlignment="1">
      <alignment horizontal="center" vertical="center"/>
    </xf>
    <xf numFmtId="0" fontId="0" fillId="29" borderId="0" xfId="0" applyFill="1" applyAlignment="1">
      <alignment horizontal="center" vertical="center"/>
    </xf>
    <xf numFmtId="0" fontId="6" fillId="29" borderId="0" xfId="246" quotePrefix="1" applyFont="1" applyFill="1" applyAlignment="1">
      <alignment horizontal="center" vertical="center"/>
    </xf>
    <xf numFmtId="0" fontId="7" fillId="0" borderId="0" xfId="5" applyAlignment="1" applyProtection="1">
      <alignment vertical="center"/>
    </xf>
    <xf numFmtId="44" fontId="56" fillId="9" borderId="3" xfId="1" applyFont="1" applyFill="1" applyBorder="1"/>
    <xf numFmtId="44" fontId="93" fillId="0" borderId="45" xfId="0" applyNumberFormat="1" applyFont="1" applyBorder="1"/>
    <xf numFmtId="0" fontId="6" fillId="0" borderId="26" xfId="0" applyFont="1" applyBorder="1" applyAlignment="1">
      <alignment horizontal="center" vertical="center" wrapText="1"/>
    </xf>
    <xf numFmtId="0" fontId="93" fillId="0" borderId="26" xfId="0" applyFont="1" applyBorder="1" applyAlignment="1">
      <alignment horizontal="center" vertical="center" wrapText="1"/>
    </xf>
    <xf numFmtId="44" fontId="56" fillId="71" borderId="2" xfId="1" applyFont="1" applyFill="1" applyBorder="1"/>
    <xf numFmtId="44" fontId="56" fillId="71" borderId="3" xfId="1" applyFont="1" applyFill="1" applyBorder="1"/>
    <xf numFmtId="0" fontId="92" fillId="71" borderId="2" xfId="0" applyFont="1" applyFill="1" applyBorder="1"/>
    <xf numFmtId="0" fontId="92" fillId="71" borderId="3" xfId="0" applyFont="1" applyFill="1" applyBorder="1"/>
    <xf numFmtId="44" fontId="53" fillId="71" borderId="2" xfId="1" applyFont="1" applyFill="1" applyBorder="1"/>
    <xf numFmtId="44" fontId="53" fillId="71" borderId="3" xfId="1" applyFont="1" applyFill="1" applyBorder="1"/>
    <xf numFmtId="0" fontId="11" fillId="71" borderId="0" xfId="0" applyFont="1" applyFill="1" applyAlignment="1">
      <alignment vertical="center" wrapText="1"/>
    </xf>
    <xf numFmtId="0" fontId="11" fillId="0" borderId="0" xfId="0" applyFont="1" applyAlignment="1">
      <alignment vertical="center"/>
    </xf>
    <xf numFmtId="0" fontId="97" fillId="70" borderId="0" xfId="0" applyFont="1" applyFill="1" applyAlignment="1">
      <alignment vertical="center" wrapText="1"/>
    </xf>
    <xf numFmtId="0" fontId="6" fillId="0" borderId="0" xfId="0" applyFont="1" applyAlignment="1">
      <alignment horizontal="left" vertical="center" wrapText="1" readingOrder="1"/>
    </xf>
    <xf numFmtId="0" fontId="6" fillId="0" borderId="35" xfId="0" applyFont="1" applyBorder="1"/>
    <xf numFmtId="0" fontId="6" fillId="0" borderId="36" xfId="0" applyFont="1" applyBorder="1"/>
    <xf numFmtId="0" fontId="6" fillId="0" borderId="37" xfId="0" applyFont="1" applyBorder="1"/>
    <xf numFmtId="0" fontId="6" fillId="0" borderId="27" xfId="0" applyFont="1" applyBorder="1"/>
    <xf numFmtId="0" fontId="93" fillId="0" borderId="26" xfId="0" applyFont="1" applyBorder="1" applyAlignment="1">
      <alignment horizontal="center" vertical="center" wrapText="1" readingOrder="1"/>
    </xf>
    <xf numFmtId="0" fontId="93" fillId="0" borderId="26" xfId="0" applyFont="1" applyBorder="1"/>
    <xf numFmtId="0" fontId="6" fillId="0" borderId="28" xfId="0" applyFont="1" applyBorder="1"/>
    <xf numFmtId="0" fontId="6" fillId="0" borderId="29" xfId="0" applyFont="1" applyBorder="1"/>
    <xf numFmtId="0" fontId="6" fillId="0" borderId="30" xfId="0" applyFont="1" applyBorder="1"/>
    <xf numFmtId="0" fontId="6" fillId="0" borderId="0" xfId="0" applyFont="1" applyAlignment="1">
      <alignment vertical="center" readingOrder="1"/>
    </xf>
    <xf numFmtId="49" fontId="6" fillId="67" borderId="0" xfId="0" applyNumberFormat="1" applyFont="1" applyFill="1" applyAlignment="1">
      <alignment horizontal="left"/>
    </xf>
    <xf numFmtId="0" fontId="6" fillId="67" borderId="0" xfId="0" applyFont="1" applyFill="1" applyAlignment="1">
      <alignment horizontal="left"/>
    </xf>
    <xf numFmtId="49" fontId="0" fillId="67" borderId="0" xfId="0" applyNumberFormat="1" applyFill="1" applyAlignment="1">
      <alignment horizontal="left" vertical="center"/>
    </xf>
    <xf numFmtId="0" fontId="0" fillId="67" borderId="0" xfId="0" applyFill="1" applyAlignment="1">
      <alignment horizontal="left" vertical="center"/>
    </xf>
    <xf numFmtId="0" fontId="6" fillId="67" borderId="0" xfId="0" quotePrefix="1" applyFont="1" applyFill="1"/>
    <xf numFmtId="0" fontId="6" fillId="67" borderId="0" xfId="0" applyFont="1" applyFill="1"/>
    <xf numFmtId="49" fontId="0" fillId="67" borderId="0" xfId="0" applyNumberFormat="1" applyFill="1" applyAlignment="1">
      <alignment horizontal="left"/>
    </xf>
    <xf numFmtId="0" fontId="0" fillId="67" borderId="0" xfId="0" applyFill="1"/>
    <xf numFmtId="0" fontId="0" fillId="67" borderId="0" xfId="0" applyFill="1" applyAlignment="1">
      <alignment horizontal="left"/>
    </xf>
    <xf numFmtId="0" fontId="6" fillId="67" borderId="0" xfId="246" quotePrefix="1" applyFont="1" applyFill="1"/>
    <xf numFmtId="0" fontId="6" fillId="0" borderId="0" xfId="0" quotePrefix="1" applyFont="1" applyAlignment="1">
      <alignment horizontal="center" vertical="center"/>
    </xf>
    <xf numFmtId="38" fontId="1" fillId="0" borderId="0" xfId="0" applyNumberFormat="1"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 fillId="48" borderId="0" xfId="0" applyFont="1" applyFill="1"/>
    <xf numFmtId="0" fontId="0" fillId="48" borderId="0" xfId="0" applyFill="1"/>
    <xf numFmtId="0" fontId="0" fillId="0" borderId="0" xfId="0" quotePrefix="1"/>
    <xf numFmtId="44" fontId="0" fillId="8" borderId="0" xfId="1" quotePrefix="1" applyFont="1" applyFill="1"/>
    <xf numFmtId="0" fontId="0" fillId="52" borderId="0" xfId="0" applyFill="1" applyAlignment="1">
      <alignment horizontal="center" vertical="center"/>
    </xf>
    <xf numFmtId="0" fontId="0" fillId="0" borderId="0" xfId="0" applyAlignment="1">
      <alignment horizontal="center"/>
    </xf>
    <xf numFmtId="0" fontId="53" fillId="0" borderId="0" xfId="0" applyFont="1" applyAlignment="1">
      <alignment vertical="center" wrapText="1"/>
    </xf>
    <xf numFmtId="0" fontId="53" fillId="0" borderId="0" xfId="0" applyFont="1" applyAlignment="1">
      <alignment vertical="center"/>
    </xf>
    <xf numFmtId="0" fontId="0" fillId="0" borderId="26" xfId="0" applyBorder="1" applyAlignment="1">
      <alignment vertical="center" wrapText="1"/>
    </xf>
    <xf numFmtId="0" fontId="0" fillId="0" borderId="27" xfId="0" applyBorder="1" applyAlignment="1">
      <alignment vertical="center" wrapText="1"/>
    </xf>
    <xf numFmtId="40" fontId="6" fillId="0" borderId="0" xfId="9" applyNumberFormat="1" applyFont="1" applyFill="1" applyAlignment="1">
      <alignment horizontal="left"/>
    </xf>
    <xf numFmtId="40" fontId="0" fillId="0" borderId="0" xfId="9" applyNumberFormat="1" applyFont="1" applyFill="1"/>
    <xf numFmtId="40" fontId="0" fillId="0" borderId="0" xfId="9" applyNumberFormat="1" applyFont="1" applyFill="1" applyAlignment="1">
      <alignment horizontal="left" vertical="center"/>
    </xf>
    <xf numFmtId="40" fontId="6" fillId="0" borderId="0" xfId="9" applyNumberFormat="1" applyFont="1" applyFill="1"/>
    <xf numFmtId="40" fontId="6" fillId="0" borderId="0" xfId="9" quotePrefix="1" applyNumberFormat="1" applyFont="1" applyFill="1" applyAlignment="1">
      <alignment horizontal="left" vertical="center"/>
    </xf>
    <xf numFmtId="40" fontId="6" fillId="0" borderId="0" xfId="9" quotePrefix="1" applyNumberFormat="1" applyFont="1" applyFill="1" applyAlignment="1">
      <alignment horizontal="left" vertical="top"/>
    </xf>
    <xf numFmtId="40" fontId="104" fillId="0" borderId="0" xfId="9" applyNumberFormat="1" applyFont="1" applyFill="1"/>
    <xf numFmtId="40" fontId="103" fillId="0" borderId="0" xfId="0" applyNumberFormat="1" applyFont="1"/>
    <xf numFmtId="40" fontId="0" fillId="0" borderId="0" xfId="9" applyNumberFormat="1" applyFont="1" applyFill="1" applyAlignment="1">
      <alignment horizontal="right" vertical="center"/>
    </xf>
    <xf numFmtId="40" fontId="6" fillId="0" borderId="0" xfId="9" applyNumberFormat="1" applyFont="1" applyFill="1" applyAlignment="1">
      <alignment horizontal="right"/>
    </xf>
    <xf numFmtId="40" fontId="0" fillId="0" borderId="0" xfId="9" applyNumberFormat="1" applyFont="1" applyFill="1" applyAlignment="1">
      <alignment horizontal="right"/>
    </xf>
    <xf numFmtId="40" fontId="6" fillId="0" borderId="0" xfId="9" quotePrefix="1" applyNumberFormat="1" applyFont="1" applyFill="1" applyAlignment="1">
      <alignment horizontal="right" vertical="top"/>
    </xf>
    <xf numFmtId="43" fontId="0" fillId="0" borderId="0" xfId="0" applyNumberFormat="1"/>
    <xf numFmtId="0" fontId="25" fillId="0" borderId="0" xfId="0" applyFont="1" applyAlignment="1">
      <alignment horizontal="center" vertical="center" wrapText="1"/>
    </xf>
    <xf numFmtId="0" fontId="12" fillId="0" borderId="0" xfId="5337" applyFont="1" applyAlignment="1">
      <alignment horizontal="center" vertical="center" wrapText="1"/>
    </xf>
    <xf numFmtId="0" fontId="25" fillId="0" borderId="0" xfId="0" quotePrefix="1" applyFont="1" applyAlignment="1">
      <alignment horizontal="center" vertical="center" wrapText="1"/>
    </xf>
    <xf numFmtId="41" fontId="25" fillId="0" borderId="0" xfId="0" applyNumberFormat="1" applyFont="1" applyAlignment="1">
      <alignment horizontal="left" vertical="top" wrapText="1"/>
    </xf>
    <xf numFmtId="165" fontId="25" fillId="4" borderId="0" xfId="0" applyNumberFormat="1" applyFont="1" applyFill="1" applyAlignment="1">
      <alignment horizontal="left" vertical="top" wrapText="1"/>
    </xf>
    <xf numFmtId="165" fontId="25" fillId="0" borderId="0" xfId="0" applyNumberFormat="1" applyFont="1" applyAlignment="1">
      <alignment horizontal="left" vertical="top" wrapText="1"/>
    </xf>
    <xf numFmtId="41" fontId="25" fillId="0" borderId="0" xfId="0" applyNumberFormat="1" applyFont="1" applyAlignment="1">
      <alignment wrapText="1"/>
    </xf>
    <xf numFmtId="0" fontId="25" fillId="5" borderId="0" xfId="0" applyFont="1" applyFill="1" applyAlignment="1">
      <alignment horizontal="center" vertical="center" wrapText="1"/>
    </xf>
    <xf numFmtId="0" fontId="25" fillId="4" borderId="0" xfId="0" applyFont="1" applyFill="1" applyAlignment="1">
      <alignment horizontal="center" vertical="center" wrapText="1"/>
    </xf>
    <xf numFmtId="43" fontId="25" fillId="0" borderId="0" xfId="0" applyNumberFormat="1" applyFont="1" applyAlignment="1">
      <alignment horizontal="center" vertical="center" wrapText="1"/>
    </xf>
    <xf numFmtId="44" fontId="53" fillId="9" borderId="33" xfId="0" applyNumberFormat="1" applyFont="1" applyFill="1" applyBorder="1"/>
    <xf numFmtId="44" fontId="53" fillId="9" borderId="9" xfId="0" applyNumberFormat="1" applyFont="1" applyFill="1" applyBorder="1"/>
    <xf numFmtId="0" fontId="0" fillId="0" borderId="39" xfId="0" applyBorder="1" applyAlignment="1">
      <alignment horizontal="center" vertical="center" wrapText="1"/>
    </xf>
    <xf numFmtId="44" fontId="99" fillId="0" borderId="52" xfId="4" applyNumberFormat="1" applyFont="1" applyFill="1" applyBorder="1"/>
    <xf numFmtId="0" fontId="100" fillId="71" borderId="0" xfId="0" applyFont="1" applyFill="1" applyAlignment="1">
      <alignment horizontal="left" vertical="center" wrapText="1" readingOrder="1"/>
    </xf>
    <xf numFmtId="0" fontId="6" fillId="0" borderId="0" xfId="0" applyFont="1" applyAlignment="1">
      <alignment horizontal="center" vertical="center" wrapText="1" readingOrder="1"/>
    </xf>
    <xf numFmtId="0" fontId="6" fillId="71" borderId="0" xfId="0" applyFont="1" applyFill="1" applyAlignment="1">
      <alignment vertical="top" wrapText="1"/>
    </xf>
    <xf numFmtId="0" fontId="6" fillId="55" borderId="0" xfId="0" applyFont="1" applyFill="1" applyAlignment="1">
      <alignment horizontal="center" vertical="center" wrapText="1" readingOrder="1"/>
    </xf>
    <xf numFmtId="0" fontId="6" fillId="0" borderId="0" xfId="0" applyFont="1" applyAlignment="1">
      <alignment vertical="top" wrapText="1"/>
    </xf>
    <xf numFmtId="0" fontId="101" fillId="71" borderId="0" xfId="0" applyFont="1" applyFill="1" applyAlignment="1">
      <alignment horizontal="center" vertical="center" wrapText="1" readingOrder="1"/>
    </xf>
    <xf numFmtId="0" fontId="6" fillId="0" borderId="0" xfId="0" applyFont="1" applyAlignment="1">
      <alignment horizontal="center" vertical="center" wrapText="1"/>
    </xf>
    <xf numFmtId="0" fontId="6" fillId="0" borderId="0" xfId="0" applyFont="1" applyAlignment="1">
      <alignment horizontal="left" vertical="center" readingOrder="1"/>
    </xf>
    <xf numFmtId="0" fontId="6" fillId="72" borderId="0" xfId="0" applyFont="1" applyFill="1" applyAlignment="1">
      <alignment horizontal="center" vertical="center" wrapText="1" readingOrder="1"/>
    </xf>
    <xf numFmtId="0" fontId="102" fillId="71" borderId="0" xfId="0" applyFont="1" applyFill="1" applyAlignment="1">
      <alignment horizontal="center" vertical="center" wrapText="1" readingOrder="1"/>
    </xf>
    <xf numFmtId="0" fontId="102" fillId="70" borderId="0" xfId="0" applyFont="1" applyFill="1" applyAlignment="1">
      <alignment horizontal="left" vertical="center" wrapText="1" readingOrder="1"/>
    </xf>
    <xf numFmtId="0" fontId="6" fillId="72" borderId="0" xfId="0" quotePrefix="1" applyFont="1" applyFill="1" applyAlignment="1">
      <alignment horizontal="center" vertical="center" wrapText="1" readingOrder="1"/>
    </xf>
    <xf numFmtId="0" fontId="0" fillId="0" borderId="26" xfId="0" applyBorder="1"/>
    <xf numFmtId="0" fontId="0" fillId="0" borderId="27" xfId="0" applyBorder="1"/>
    <xf numFmtId="44" fontId="53" fillId="4" borderId="3" xfId="0" applyNumberFormat="1" applyFont="1" applyFill="1" applyBorder="1"/>
    <xf numFmtId="44" fontId="53" fillId="56" borderId="49" xfId="0" applyNumberFormat="1" applyFont="1" applyFill="1" applyBorder="1"/>
    <xf numFmtId="44" fontId="53" fillId="56" borderId="50" xfId="0" applyNumberFormat="1" applyFont="1" applyFill="1" applyBorder="1"/>
    <xf numFmtId="44" fontId="53" fillId="56" borderId="51" xfId="0" applyNumberFormat="1" applyFont="1" applyFill="1" applyBorder="1"/>
    <xf numFmtId="44" fontId="94" fillId="54" borderId="46" xfId="4" applyNumberFormat="1" applyFont="1" applyFill="1" applyBorder="1"/>
    <xf numFmtId="44" fontId="0" fillId="4" borderId="38" xfId="0" applyNumberFormat="1" applyFill="1" applyBorder="1" applyAlignment="1">
      <alignment horizontal="center" vertical="center" wrapText="1"/>
    </xf>
    <xf numFmtId="0" fontId="49" fillId="4" borderId="0" xfId="0" applyFont="1" applyFill="1" applyAlignment="1">
      <alignment vertical="center"/>
    </xf>
    <xf numFmtId="0" fontId="0" fillId="0" borderId="0" xfId="0" applyAlignment="1">
      <alignment horizontal="center" vertical="center" wrapText="1"/>
    </xf>
    <xf numFmtId="0" fontId="2" fillId="0" borderId="0" xfId="5339"/>
    <xf numFmtId="0" fontId="0" fillId="0" borderId="0" xfId="0" applyAlignment="1">
      <alignment horizontal="left" vertical="center"/>
    </xf>
    <xf numFmtId="0" fontId="0" fillId="4" borderId="0" xfId="0" applyFill="1" applyAlignment="1">
      <alignment horizontal="center" vertical="center"/>
    </xf>
    <xf numFmtId="0" fontId="105" fillId="0" borderId="0" xfId="0" applyFont="1" applyAlignment="1">
      <alignment horizontal="center" vertical="center"/>
    </xf>
    <xf numFmtId="0" fontId="16" fillId="58" borderId="0" xfId="80" applyFont="1" applyFill="1" applyAlignment="1">
      <alignment horizontal="center" vertical="center" wrapText="1"/>
    </xf>
    <xf numFmtId="0" fontId="106" fillId="0" borderId="0" xfId="0" applyFont="1" applyAlignment="1">
      <alignment horizontal="left" vertical="center"/>
    </xf>
    <xf numFmtId="0" fontId="106" fillId="0" borderId="0" xfId="0" quotePrefix="1" applyFont="1" applyAlignment="1">
      <alignment horizontal="center" vertical="center"/>
    </xf>
    <xf numFmtId="0" fontId="106" fillId="0" borderId="0" xfId="0" applyFont="1" applyAlignment="1">
      <alignment horizontal="center" vertical="center"/>
    </xf>
    <xf numFmtId="10" fontId="6" fillId="0" borderId="0" xfId="2" applyNumberFormat="1" applyFont="1" applyAlignment="1">
      <alignment horizontal="center" vertical="center"/>
    </xf>
    <xf numFmtId="10" fontId="10" fillId="0" borderId="0" xfId="0" applyNumberFormat="1" applyFont="1" applyAlignment="1">
      <alignment horizontal="center" vertical="center"/>
    </xf>
    <xf numFmtId="43" fontId="6" fillId="73" borderId="0" xfId="3921" applyNumberFormat="1" applyFont="1" applyFill="1" applyAlignment="1">
      <alignment horizontal="centerContinuous"/>
    </xf>
    <xf numFmtId="168" fontId="0" fillId="73" borderId="0" xfId="9" applyNumberFormat="1" applyFont="1" applyFill="1" applyAlignment="1">
      <alignment horizontal="center" vertical="center"/>
    </xf>
    <xf numFmtId="0" fontId="48" fillId="0" borderId="0" xfId="0" applyFont="1"/>
    <xf numFmtId="0" fontId="105" fillId="74" borderId="0" xfId="0" applyFont="1" applyFill="1" applyAlignment="1">
      <alignment horizontal="center"/>
    </xf>
    <xf numFmtId="0" fontId="106" fillId="74" borderId="0" xfId="0" applyFont="1" applyFill="1"/>
    <xf numFmtId="0" fontId="106" fillId="74" borderId="0" xfId="0" applyFont="1" applyFill="1" applyAlignment="1">
      <alignment horizontal="left" vertical="center"/>
    </xf>
    <xf numFmtId="167" fontId="48" fillId="0" borderId="0" xfId="0" applyNumberFormat="1" applyFont="1" applyAlignment="1">
      <alignment horizontal="center"/>
    </xf>
    <xf numFmtId="0" fontId="0" fillId="73" borderId="0" xfId="0" applyFill="1"/>
    <xf numFmtId="0" fontId="12" fillId="73" borderId="0" xfId="0" applyFont="1" applyFill="1"/>
    <xf numFmtId="0" fontId="12" fillId="66" borderId="0" xfId="0" applyFont="1" applyFill="1"/>
    <xf numFmtId="0" fontId="24" fillId="66" borderId="0" xfId="0" applyFont="1" applyFill="1"/>
    <xf numFmtId="0" fontId="12" fillId="4" borderId="0" xfId="0" applyFont="1" applyFill="1"/>
    <xf numFmtId="0" fontId="24" fillId="4" borderId="0" xfId="0" applyFont="1" applyFill="1"/>
    <xf numFmtId="0" fontId="12" fillId="4" borderId="0" xfId="0" applyFont="1" applyFill="1" applyAlignment="1">
      <alignment horizontal="center" vertical="center"/>
    </xf>
    <xf numFmtId="0" fontId="24" fillId="0" borderId="0" xfId="0" applyFont="1" applyAlignment="1">
      <alignment horizontal="center" vertical="center"/>
    </xf>
    <xf numFmtId="0" fontId="0" fillId="54" borderId="0" xfId="0" applyFill="1" applyAlignment="1">
      <alignment horizontal="centerContinuous"/>
    </xf>
    <xf numFmtId="0" fontId="0" fillId="75" borderId="0" xfId="0" applyFill="1"/>
    <xf numFmtId="0" fontId="12" fillId="75" borderId="0" xfId="0" applyFont="1" applyFill="1"/>
    <xf numFmtId="0" fontId="0" fillId="75" borderId="36" xfId="0" applyFill="1" applyBorder="1"/>
    <xf numFmtId="0" fontId="0" fillId="75" borderId="37" xfId="0" applyFill="1" applyBorder="1"/>
    <xf numFmtId="0" fontId="0" fillId="75" borderId="26" xfId="0" applyFill="1" applyBorder="1"/>
    <xf numFmtId="0" fontId="0" fillId="75" borderId="0" xfId="0" applyFill="1" applyAlignment="1">
      <alignment horizontal="center"/>
    </xf>
    <xf numFmtId="0" fontId="0" fillId="75" borderId="27" xfId="0" applyFill="1" applyBorder="1"/>
    <xf numFmtId="0" fontId="24" fillId="76" borderId="0" xfId="0" applyFont="1" applyFill="1" applyAlignment="1">
      <alignment horizontal="center" vertical="center"/>
    </xf>
    <xf numFmtId="40" fontId="104" fillId="75" borderId="0" xfId="9" applyNumberFormat="1" applyFont="1" applyFill="1" applyBorder="1"/>
    <xf numFmtId="40" fontId="103" fillId="75" borderId="0" xfId="0" applyNumberFormat="1" applyFont="1" applyFill="1"/>
    <xf numFmtId="40" fontId="0" fillId="75" borderId="0" xfId="0" applyNumberFormat="1" applyFill="1"/>
    <xf numFmtId="40" fontId="0" fillId="75" borderId="27" xfId="0" applyNumberFormat="1" applyFill="1" applyBorder="1"/>
    <xf numFmtId="40" fontId="0" fillId="77" borderId="0" xfId="0" applyNumberFormat="1" applyFill="1"/>
    <xf numFmtId="40" fontId="0" fillId="78" borderId="27" xfId="0" applyNumberFormat="1" applyFill="1" applyBorder="1"/>
    <xf numFmtId="40" fontId="12" fillId="75" borderId="0" xfId="0" applyNumberFormat="1" applyFont="1" applyFill="1"/>
    <xf numFmtId="0" fontId="0" fillId="75" borderId="28" xfId="0" applyFill="1" applyBorder="1"/>
    <xf numFmtId="0" fontId="0" fillId="75" borderId="29" xfId="0" applyFill="1" applyBorder="1"/>
    <xf numFmtId="0" fontId="0" fillId="75" borderId="30" xfId="0" applyFill="1" applyBorder="1"/>
    <xf numFmtId="0" fontId="12" fillId="75" borderId="36" xfId="0" applyFont="1" applyFill="1" applyBorder="1"/>
    <xf numFmtId="0" fontId="12" fillId="75" borderId="37" xfId="0" applyFont="1" applyFill="1" applyBorder="1"/>
    <xf numFmtId="0" fontId="0" fillId="75" borderId="26" xfId="0" applyFill="1" applyBorder="1" applyAlignment="1">
      <alignment horizontal="center"/>
    </xf>
    <xf numFmtId="0" fontId="12" fillId="75" borderId="27" xfId="0" applyFont="1" applyFill="1" applyBorder="1"/>
    <xf numFmtId="0" fontId="24" fillId="75" borderId="0" xfId="0" applyFont="1" applyFill="1"/>
    <xf numFmtId="0" fontId="24" fillId="75" borderId="27" xfId="0" applyFont="1" applyFill="1" applyBorder="1"/>
    <xf numFmtId="40" fontId="12" fillId="75" borderId="0" xfId="9" applyNumberFormat="1" applyFont="1" applyFill="1" applyBorder="1"/>
    <xf numFmtId="40" fontId="12" fillId="75" borderId="27" xfId="9" applyNumberFormat="1" applyFont="1" applyFill="1" applyBorder="1"/>
    <xf numFmtId="40" fontId="0" fillId="77" borderId="26" xfId="0" applyNumberFormat="1" applyFill="1" applyBorder="1"/>
    <xf numFmtId="0" fontId="12" fillId="75" borderId="29" xfId="0" applyFont="1" applyFill="1" applyBorder="1"/>
    <xf numFmtId="0" fontId="12" fillId="75" borderId="30" xfId="0" applyFont="1" applyFill="1" applyBorder="1"/>
    <xf numFmtId="0" fontId="0" fillId="75" borderId="35" xfId="0" applyFill="1" applyBorder="1" applyAlignment="1">
      <alignment horizontal="left"/>
    </xf>
    <xf numFmtId="0" fontId="12" fillId="76" borderId="0" xfId="0" applyFont="1" applyFill="1" applyAlignment="1">
      <alignment horizontal="center" vertical="center"/>
    </xf>
    <xf numFmtId="0" fontId="12" fillId="75" borderId="27" xfId="0" applyFont="1" applyFill="1" applyBorder="1" applyAlignment="1">
      <alignment horizontal="center" vertical="center"/>
    </xf>
    <xf numFmtId="167" fontId="6" fillId="4" borderId="0" xfId="0" applyNumberFormat="1" applyFont="1" applyFill="1"/>
    <xf numFmtId="0" fontId="0" fillId="1" borderId="0" xfId="0" applyFill="1"/>
    <xf numFmtId="0" fontId="0" fillId="1" borderId="0" xfId="0" applyFill="1" applyAlignment="1">
      <alignment horizontal="center" vertical="center"/>
    </xf>
    <xf numFmtId="10" fontId="0" fillId="4" borderId="0" xfId="2" applyNumberFormat="1" applyFont="1" applyFill="1" applyAlignment="1">
      <alignment horizontal="center"/>
    </xf>
    <xf numFmtId="0" fontId="0" fillId="54" borderId="0" xfId="0" applyFill="1" applyAlignment="1">
      <alignment horizontal="center" vertical="center"/>
    </xf>
    <xf numFmtId="0" fontId="0" fillId="30" borderId="0" xfId="0" applyFill="1" applyAlignment="1">
      <alignment horizontal="left" vertical="center"/>
    </xf>
    <xf numFmtId="0" fontId="13" fillId="10" borderId="33" xfId="0" applyFont="1" applyFill="1" applyBorder="1" applyAlignment="1">
      <alignment horizontal="center"/>
    </xf>
    <xf numFmtId="0" fontId="1" fillId="75" borderId="35" xfId="0" applyFont="1" applyFill="1" applyBorder="1"/>
    <xf numFmtId="0" fontId="0" fillId="75" borderId="0" xfId="0" applyFill="1" applyAlignment="1">
      <alignment horizontal="left"/>
    </xf>
    <xf numFmtId="0" fontId="0" fillId="75" borderId="33" xfId="0" applyFill="1" applyBorder="1" applyAlignment="1">
      <alignment horizontal="center"/>
    </xf>
    <xf numFmtId="0" fontId="0" fillId="75" borderId="42" xfId="0" applyFill="1" applyBorder="1" applyAlignment="1">
      <alignment horizontal="center"/>
    </xf>
    <xf numFmtId="0" fontId="0" fillId="75" borderId="27" xfId="0" applyFill="1" applyBorder="1" applyAlignment="1">
      <alignment horizontal="center"/>
    </xf>
    <xf numFmtId="0" fontId="107" fillId="0" borderId="0" xfId="0" applyFont="1"/>
    <xf numFmtId="0" fontId="107" fillId="0" borderId="0" xfId="0" applyFont="1" applyAlignment="1">
      <alignment horizontal="centerContinuous"/>
    </xf>
    <xf numFmtId="0" fontId="0" fillId="0" borderId="0" xfId="0" applyAlignment="1">
      <alignment horizontal="centerContinuous"/>
    </xf>
    <xf numFmtId="43" fontId="0" fillId="48" borderId="0" xfId="9" applyFont="1" applyFill="1"/>
    <xf numFmtId="43" fontId="0" fillId="79" borderId="0" xfId="9" applyFont="1" applyFill="1"/>
    <xf numFmtId="43" fontId="0" fillId="71" borderId="0" xfId="9" applyFont="1" applyFill="1"/>
    <xf numFmtId="43" fontId="0" fillId="80" borderId="0" xfId="9" applyFont="1" applyFill="1"/>
    <xf numFmtId="0" fontId="0" fillId="81" borderId="0" xfId="0" applyFill="1"/>
    <xf numFmtId="0" fontId="0" fillId="82" borderId="0" xfId="0" applyFill="1"/>
    <xf numFmtId="0" fontId="52" fillId="83" borderId="2" xfId="0" applyFont="1" applyFill="1" applyBorder="1" applyAlignment="1">
      <alignment horizontal="center" wrapText="1"/>
    </xf>
    <xf numFmtId="3" fontId="52" fillId="83" borderId="2" xfId="0" applyNumberFormat="1" applyFont="1" applyFill="1" applyBorder="1" applyAlignment="1">
      <alignment horizontal="center" wrapText="1"/>
    </xf>
    <xf numFmtId="3" fontId="52" fillId="84" borderId="2" xfId="0" applyNumberFormat="1" applyFont="1" applyFill="1" applyBorder="1" applyAlignment="1">
      <alignment horizontal="center" wrapText="1"/>
    </xf>
    <xf numFmtId="3" fontId="52" fillId="85" borderId="2" xfId="0" applyNumberFormat="1" applyFont="1" applyFill="1" applyBorder="1" applyAlignment="1">
      <alignment horizontal="center" wrapText="1"/>
    </xf>
    <xf numFmtId="0" fontId="105" fillId="0" borderId="0" xfId="0" applyFont="1" applyAlignment="1">
      <alignment horizontal="center"/>
    </xf>
    <xf numFmtId="0" fontId="106" fillId="0" borderId="53" xfId="0" quotePrefix="1" applyFont="1" applyBorder="1" applyAlignment="1">
      <alignment horizontal="left" vertical="top"/>
    </xf>
    <xf numFmtId="43" fontId="0" fillId="86" borderId="0" xfId="9" applyFont="1" applyFill="1"/>
    <xf numFmtId="43" fontId="0" fillId="87" borderId="0" xfId="9" applyFont="1" applyFill="1"/>
    <xf numFmtId="43" fontId="105" fillId="0" borderId="0" xfId="9" applyFont="1" applyFill="1"/>
    <xf numFmtId="43" fontId="0" fillId="88" borderId="0" xfId="9" applyFont="1" applyFill="1"/>
    <xf numFmtId="49" fontId="105" fillId="0" borderId="0" xfId="0" applyNumberFormat="1" applyFont="1" applyAlignment="1">
      <alignment horizontal="center" vertical="center"/>
    </xf>
    <xf numFmtId="0" fontId="106" fillId="0" borderId="0" xfId="0" quotePrefix="1" applyFont="1" applyAlignment="1">
      <alignment horizontal="left" vertical="top"/>
    </xf>
    <xf numFmtId="0" fontId="105" fillId="0" borderId="53" xfId="0" applyFont="1" applyBorder="1" applyAlignment="1">
      <alignment horizontal="left" vertical="center"/>
    </xf>
    <xf numFmtId="40" fontId="108" fillId="75" borderId="0" xfId="0" applyNumberFormat="1" applyFont="1" applyFill="1" applyAlignment="1">
      <alignment horizontal="center"/>
    </xf>
    <xf numFmtId="40" fontId="2" fillId="0" borderId="0" xfId="9" applyNumberFormat="1" applyFont="1" applyFill="1"/>
    <xf numFmtId="0" fontId="0" fillId="62" borderId="3" xfId="0" applyFill="1" applyBorder="1" applyAlignment="1">
      <alignment horizontal="centerContinuous"/>
    </xf>
    <xf numFmtId="0" fontId="0" fillId="62" borderId="4" xfId="0" applyFill="1" applyBorder="1" applyAlignment="1">
      <alignment horizontal="centerContinuous"/>
    </xf>
    <xf numFmtId="0" fontId="0" fillId="62" borderId="5" xfId="0" applyFill="1" applyBorder="1" applyAlignment="1">
      <alignment horizontal="centerContinuous"/>
    </xf>
    <xf numFmtId="44" fontId="8" fillId="51" borderId="0" xfId="4" applyNumberFormat="1" applyFont="1" applyFill="1"/>
    <xf numFmtId="10" fontId="0" fillId="4" borderId="0" xfId="2" applyNumberFormat="1" applyFont="1" applyFill="1" applyBorder="1" applyAlignment="1">
      <alignment horizontal="center" vertical="center"/>
    </xf>
    <xf numFmtId="44" fontId="0" fillId="0" borderId="12" xfId="1" applyFont="1" applyBorder="1"/>
    <xf numFmtId="10" fontId="0" fillId="0" borderId="17" xfId="0" applyNumberFormat="1" applyBorder="1" applyAlignment="1">
      <alignment horizontal="center"/>
    </xf>
    <xf numFmtId="44" fontId="0" fillId="0" borderId="14" xfId="0" applyNumberFormat="1" applyBorder="1"/>
    <xf numFmtId="44" fontId="0" fillId="13" borderId="0" xfId="1" applyFont="1" applyFill="1" applyBorder="1" applyAlignment="1">
      <alignment horizontal="right" vertical="center"/>
    </xf>
    <xf numFmtId="0" fontId="0" fillId="13" borderId="11" xfId="0" applyFill="1" applyBorder="1" applyAlignment="1">
      <alignment vertical="center"/>
    </xf>
    <xf numFmtId="0" fontId="0" fillId="51" borderId="9" xfId="0" applyFill="1" applyBorder="1"/>
    <xf numFmtId="44" fontId="0" fillId="51" borderId="54" xfId="0" applyNumberFormat="1" applyFill="1" applyBorder="1"/>
    <xf numFmtId="0" fontId="0" fillId="0" borderId="54" xfId="0" applyBorder="1"/>
    <xf numFmtId="10" fontId="0" fillId="4" borderId="54" xfId="2" applyNumberFormat="1" applyFont="1" applyFill="1" applyBorder="1" applyAlignment="1">
      <alignment horizontal="center" vertical="center"/>
    </xf>
    <xf numFmtId="44" fontId="0" fillId="0" borderId="10" xfId="1" applyFont="1" applyBorder="1"/>
    <xf numFmtId="10" fontId="0" fillId="0" borderId="17" xfId="2" applyNumberFormat="1" applyFont="1" applyBorder="1" applyAlignment="1">
      <alignment horizontal="center" vertical="center"/>
    </xf>
    <xf numFmtId="0" fontId="0" fillId="89" borderId="0" xfId="0" applyFill="1"/>
    <xf numFmtId="0" fontId="53" fillId="89" borderId="0" xfId="0" applyFont="1" applyFill="1"/>
    <xf numFmtId="44" fontId="56" fillId="90" borderId="2" xfId="1" applyFont="1" applyFill="1" applyBorder="1"/>
    <xf numFmtId="0" fontId="0" fillId="54" borderId="0" xfId="0" applyFill="1"/>
    <xf numFmtId="0" fontId="12" fillId="54" borderId="0" xfId="0" applyFont="1" applyFill="1"/>
    <xf numFmtId="0" fontId="1" fillId="54" borderId="0" xfId="0" applyFont="1" applyFill="1"/>
    <xf numFmtId="37" fontId="48" fillId="4" borderId="0" xfId="0" applyNumberFormat="1" applyFont="1" applyFill="1"/>
    <xf numFmtId="167" fontId="12" fillId="0" borderId="0" xfId="0" applyNumberFormat="1" applyFont="1"/>
    <xf numFmtId="0" fontId="53" fillId="50" borderId="33" xfId="0" applyFont="1" applyFill="1" applyBorder="1" applyAlignment="1">
      <alignment vertical="center" wrapText="1"/>
    </xf>
    <xf numFmtId="0" fontId="7" fillId="0" borderId="42" xfId="5" applyBorder="1" applyAlignment="1" applyProtection="1"/>
    <xf numFmtId="0" fontId="83" fillId="0" borderId="50" xfId="0" applyFont="1" applyBorder="1" applyAlignment="1">
      <alignment horizontal="center" vertical="center"/>
    </xf>
    <xf numFmtId="0" fontId="76" fillId="0" borderId="50" xfId="0" applyFont="1" applyBorder="1" applyAlignment="1">
      <alignment horizontal="center" vertical="center"/>
    </xf>
    <xf numFmtId="44" fontId="0" fillId="4" borderId="0" xfId="1" applyFont="1" applyFill="1" applyAlignment="1">
      <alignment vertical="center"/>
    </xf>
    <xf numFmtId="44" fontId="9" fillId="0" borderId="0" xfId="1" applyFont="1" applyAlignment="1">
      <alignment vertical="center"/>
    </xf>
    <xf numFmtId="44" fontId="0" fillId="0" borderId="0" xfId="1" applyFont="1" applyAlignment="1">
      <alignment horizontal="center"/>
    </xf>
    <xf numFmtId="44" fontId="0" fillId="91" borderId="0" xfId="1" applyFont="1" applyFill="1"/>
    <xf numFmtId="44" fontId="0" fillId="12" borderId="40" xfId="1" applyFont="1" applyFill="1" applyBorder="1"/>
    <xf numFmtId="44" fontId="30" fillId="0" borderId="0" xfId="1" applyFont="1" applyFill="1"/>
    <xf numFmtId="44" fontId="0" fillId="0" borderId="40" xfId="1" applyFont="1" applyBorder="1"/>
    <xf numFmtId="0" fontId="109" fillId="50" borderId="35" xfId="0" applyFont="1" applyFill="1" applyBorder="1" applyAlignment="1">
      <alignment horizontal="left" vertical="center"/>
    </xf>
    <xf numFmtId="0" fontId="0" fillId="50" borderId="36" xfId="0" applyFill="1" applyBorder="1"/>
    <xf numFmtId="0" fontId="0" fillId="50" borderId="37" xfId="0" applyFill="1" applyBorder="1"/>
    <xf numFmtId="0" fontId="0" fillId="50" borderId="26" xfId="0" applyFill="1" applyBorder="1"/>
    <xf numFmtId="0" fontId="0" fillId="50" borderId="0" xfId="0" applyFill="1"/>
    <xf numFmtId="0" fontId="0" fillId="50" borderId="27" xfId="0" applyFill="1" applyBorder="1"/>
    <xf numFmtId="0" fontId="11" fillId="50" borderId="26" xfId="0" applyFont="1" applyFill="1" applyBorder="1"/>
    <xf numFmtId="0" fontId="0" fillId="50" borderId="26" xfId="0" applyFill="1" applyBorder="1" applyAlignment="1">
      <alignment horizontal="left" indent="1"/>
    </xf>
    <xf numFmtId="0" fontId="60" fillId="50" borderId="26" xfId="0" applyFont="1" applyFill="1" applyBorder="1" applyAlignment="1">
      <alignment horizontal="left" vertical="center" indent="1"/>
    </xf>
    <xf numFmtId="0" fontId="61" fillId="50" borderId="26" xfId="0" applyFont="1" applyFill="1" applyBorder="1" applyAlignment="1">
      <alignment horizontal="left" vertical="center"/>
    </xf>
    <xf numFmtId="0" fontId="60" fillId="50" borderId="26" xfId="0" applyFont="1" applyFill="1" applyBorder="1" applyAlignment="1">
      <alignment horizontal="left"/>
    </xf>
    <xf numFmtId="0" fontId="60" fillId="50" borderId="26" xfId="0" applyFont="1" applyFill="1" applyBorder="1" applyAlignment="1">
      <alignment horizontal="left" indent="1"/>
    </xf>
    <xf numFmtId="0" fontId="20" fillId="50" borderId="26" xfId="0" applyFont="1" applyFill="1" applyBorder="1"/>
    <xf numFmtId="0" fontId="0" fillId="50" borderId="28" xfId="0" applyFill="1" applyBorder="1"/>
    <xf numFmtId="0" fontId="0" fillId="50" borderId="29" xfId="0" applyFill="1" applyBorder="1"/>
    <xf numFmtId="0" fontId="0" fillId="50" borderId="30" xfId="0" applyFill="1" applyBorder="1"/>
    <xf numFmtId="0" fontId="84" fillId="0" borderId="0" xfId="0" applyFont="1" applyAlignment="1">
      <alignment horizontal="center" vertical="center"/>
    </xf>
    <xf numFmtId="0" fontId="84" fillId="48" borderId="26" xfId="0" applyFont="1" applyFill="1" applyBorder="1" applyAlignment="1">
      <alignment horizontal="center" vertical="center"/>
    </xf>
    <xf numFmtId="0" fontId="84" fillId="48" borderId="27" xfId="0" applyFont="1" applyFill="1" applyBorder="1" applyAlignment="1">
      <alignment horizontal="center" vertical="center"/>
    </xf>
    <xf numFmtId="0" fontId="2" fillId="48" borderId="26" xfId="0" applyFont="1" applyFill="1" applyBorder="1" applyAlignment="1">
      <alignment horizontal="center" vertical="center"/>
    </xf>
    <xf numFmtId="0" fontId="2" fillId="48" borderId="27" xfId="0" applyFont="1" applyFill="1" applyBorder="1" applyAlignment="1">
      <alignment horizontal="center" vertical="center"/>
    </xf>
    <xf numFmtId="0" fontId="2" fillId="0" borderId="26" xfId="5337" applyBorder="1" applyAlignment="1">
      <alignment horizontal="center" vertical="center" wrapText="1"/>
    </xf>
    <xf numFmtId="0" fontId="2" fillId="0" borderId="27" xfId="5337" applyBorder="1" applyAlignment="1">
      <alignment horizontal="center" vertical="center" wrapText="1"/>
    </xf>
    <xf numFmtId="0" fontId="2" fillId="0" borderId="26" xfId="0" applyFont="1" applyBorder="1" applyAlignment="1">
      <alignment horizontal="center" vertical="center"/>
    </xf>
    <xf numFmtId="0" fontId="2" fillId="0" borderId="27" xfId="0" applyFont="1" applyBorder="1" applyAlignment="1">
      <alignment horizontal="center" vertical="center"/>
    </xf>
    <xf numFmtId="167" fontId="0" fillId="0" borderId="26" xfId="9" applyNumberFormat="1" applyFont="1" applyBorder="1"/>
    <xf numFmtId="167" fontId="0" fillId="0" borderId="27" xfId="9" applyNumberFormat="1" applyFont="1" applyBorder="1"/>
    <xf numFmtId="167" fontId="0" fillId="0" borderId="26" xfId="0" applyNumberFormat="1" applyBorder="1"/>
    <xf numFmtId="167" fontId="0" fillId="0" borderId="27" xfId="0" applyNumberFormat="1" applyBorder="1"/>
    <xf numFmtId="167" fontId="0" fillId="0" borderId="28" xfId="0" applyNumberFormat="1" applyBorder="1"/>
    <xf numFmtId="167" fontId="0" fillId="0" borderId="30" xfId="0" applyNumberFormat="1" applyBorder="1"/>
    <xf numFmtId="43" fontId="0" fillId="61" borderId="0" xfId="9" applyFont="1" applyFill="1"/>
    <xf numFmtId="167" fontId="0" fillId="61" borderId="26" xfId="0" applyNumberFormat="1" applyFill="1" applyBorder="1"/>
    <xf numFmtId="0" fontId="110" fillId="61" borderId="0" xfId="0" applyFont="1" applyFill="1"/>
    <xf numFmtId="167" fontId="0" fillId="4" borderId="0" xfId="0" applyNumberFormat="1" applyFill="1"/>
    <xf numFmtId="167" fontId="0" fillId="4" borderId="27" xfId="0" applyNumberFormat="1" applyFill="1" applyBorder="1"/>
    <xf numFmtId="40" fontId="0" fillId="0" borderId="0" xfId="9" applyNumberFormat="1" applyFont="1"/>
    <xf numFmtId="40" fontId="0" fillId="4" borderId="0" xfId="9" applyNumberFormat="1" applyFont="1" applyFill="1"/>
    <xf numFmtId="0" fontId="0" fillId="92" borderId="0" xfId="0" applyFill="1"/>
    <xf numFmtId="0" fontId="112" fillId="0" borderId="0" xfId="0" applyFont="1" applyAlignment="1">
      <alignment vertical="center"/>
    </xf>
    <xf numFmtId="40" fontId="0" fillId="93" borderId="0" xfId="0" applyNumberFormat="1" applyFill="1"/>
    <xf numFmtId="40" fontId="12" fillId="0" borderId="0" xfId="9" applyNumberFormat="1" applyFont="1" applyFill="1"/>
    <xf numFmtId="40" fontId="0" fillId="0" borderId="26" xfId="0" applyNumberFormat="1" applyBorder="1"/>
    <xf numFmtId="40" fontId="104" fillId="0" borderId="0" xfId="9" applyNumberFormat="1" applyFont="1" applyFill="1" applyBorder="1"/>
    <xf numFmtId="40" fontId="0" fillId="0" borderId="0" xfId="0" applyNumberFormat="1"/>
    <xf numFmtId="40" fontId="6" fillId="0" borderId="0" xfId="9" quotePrefix="1" applyNumberFormat="1" applyFont="1" applyFill="1" applyAlignment="1">
      <alignment horizontal="right"/>
    </xf>
    <xf numFmtId="40" fontId="48" fillId="0" borderId="0" xfId="0" applyNumberFormat="1" applyFont="1"/>
    <xf numFmtId="40" fontId="0" fillId="0" borderId="0" xfId="9" applyNumberFormat="1" applyFont="1" applyFill="1" applyBorder="1"/>
    <xf numFmtId="40" fontId="6" fillId="0" borderId="0" xfId="9" applyNumberFormat="1" applyFont="1" applyFill="1" applyBorder="1" applyAlignment="1">
      <alignment horizontal="left"/>
    </xf>
    <xf numFmtId="40" fontId="0" fillId="56" borderId="0" xfId="9" applyNumberFormat="1" applyFont="1" applyFill="1"/>
    <xf numFmtId="0" fontId="105" fillId="0" borderId="0" xfId="0" applyFont="1"/>
    <xf numFmtId="10" fontId="13" fillId="0" borderId="4" xfId="2" applyNumberFormat="1" applyFont="1" applyFill="1" applyBorder="1" applyAlignment="1">
      <alignment horizontal="center" vertical="center"/>
    </xf>
    <xf numFmtId="10" fontId="13" fillId="0" borderId="17" xfId="2" applyNumberFormat="1" applyFont="1" applyFill="1" applyBorder="1" applyAlignment="1">
      <alignment horizontal="center" vertical="center"/>
    </xf>
    <xf numFmtId="10" fontId="0" fillId="0" borderId="0" xfId="0" applyNumberFormat="1" applyAlignment="1">
      <alignment horizontal="center"/>
    </xf>
    <xf numFmtId="10" fontId="13" fillId="0" borderId="0" xfId="2" applyNumberFormat="1" applyFont="1" applyFill="1" applyBorder="1" applyAlignment="1">
      <alignment horizontal="center" vertical="center"/>
    </xf>
    <xf numFmtId="0" fontId="0" fillId="54" borderId="0" xfId="0" applyFill="1" applyAlignment="1">
      <alignment horizontal="center"/>
    </xf>
    <xf numFmtId="10" fontId="0" fillId="54" borderId="0" xfId="2" applyNumberFormat="1" applyFont="1" applyFill="1"/>
    <xf numFmtId="0" fontId="0" fillId="74" borderId="0" xfId="0" applyFill="1" applyAlignment="1">
      <alignment horizontal="left"/>
    </xf>
    <xf numFmtId="0" fontId="6" fillId="65" borderId="0" xfId="0" quotePrefix="1" applyFont="1" applyFill="1" applyAlignment="1">
      <alignment horizontal="left" vertical="center"/>
    </xf>
    <xf numFmtId="0" fontId="0" fillId="29" borderId="0" xfId="0" applyFill="1"/>
    <xf numFmtId="43" fontId="6" fillId="54" borderId="0" xfId="3921" applyNumberFormat="1" applyFont="1" applyFill="1"/>
    <xf numFmtId="0" fontId="88" fillId="48" borderId="0" xfId="0" applyFont="1" applyFill="1" applyAlignment="1">
      <alignment horizontal="center" vertical="center"/>
    </xf>
    <xf numFmtId="0" fontId="114" fillId="0" borderId="0" xfId="3921" applyFont="1" applyAlignment="1">
      <alignment horizontal="center" vertical="center"/>
    </xf>
    <xf numFmtId="0" fontId="114" fillId="54" borderId="0" xfId="3921" applyFont="1" applyFill="1" applyAlignment="1">
      <alignment horizontal="center" vertical="center"/>
    </xf>
    <xf numFmtId="0" fontId="115" fillId="0" borderId="0" xfId="3921" applyFont="1" applyAlignment="1">
      <alignment horizontal="center" vertical="center"/>
    </xf>
    <xf numFmtId="0" fontId="0" fillId="56" borderId="0" xfId="0" applyFill="1" applyAlignment="1">
      <alignment horizontal="center" vertical="center"/>
    </xf>
    <xf numFmtId="40" fontId="0" fillId="56" borderId="0" xfId="0" applyNumberFormat="1" applyFill="1"/>
    <xf numFmtId="10" fontId="0" fillId="56" borderId="0" xfId="2" applyNumberFormat="1" applyFont="1" applyFill="1"/>
    <xf numFmtId="43" fontId="0" fillId="0" borderId="0" xfId="9" applyFont="1" applyFill="1" applyAlignment="1">
      <alignment horizontal="center" vertical="center"/>
    </xf>
    <xf numFmtId="10" fontId="0" fillId="54" borderId="0" xfId="0" applyNumberFormat="1" applyFill="1" applyAlignment="1">
      <alignment horizontal="center"/>
    </xf>
    <xf numFmtId="0" fontId="0" fillId="48" borderId="0" xfId="0" applyFill="1" applyAlignment="1">
      <alignment horizontal="center" vertical="center"/>
    </xf>
    <xf numFmtId="0" fontId="12" fillId="48" borderId="2" xfId="0" applyFont="1" applyFill="1" applyBorder="1" applyAlignment="1">
      <alignment horizontal="center" vertical="center"/>
    </xf>
    <xf numFmtId="0" fontId="0" fillId="11" borderId="0" xfId="0" applyFill="1"/>
    <xf numFmtId="43" fontId="0" fillId="70" borderId="0" xfId="9" applyFont="1" applyFill="1"/>
    <xf numFmtId="43" fontId="0" fillId="57" borderId="0" xfId="9" applyFont="1" applyFill="1"/>
    <xf numFmtId="43" fontId="0" fillId="57" borderId="0" xfId="9" applyFont="1" applyFill="1" applyAlignment="1">
      <alignment wrapText="1"/>
    </xf>
    <xf numFmtId="43" fontId="0" fillId="94" borderId="0" xfId="9" applyFont="1" applyFill="1"/>
    <xf numFmtId="43" fontId="0" fillId="0" borderId="0" xfId="9" applyFont="1" applyAlignment="1">
      <alignment horizontal="center"/>
    </xf>
    <xf numFmtId="43" fontId="110" fillId="0" borderId="2" xfId="9" applyFont="1" applyBorder="1" applyAlignment="1">
      <alignment horizontal="center" vertical="center" wrapText="1"/>
    </xf>
    <xf numFmtId="43" fontId="110" fillId="4" borderId="2" xfId="9" applyFont="1" applyFill="1" applyBorder="1" applyAlignment="1">
      <alignment horizontal="center" vertical="center" wrapText="1"/>
    </xf>
    <xf numFmtId="43" fontId="110" fillId="0" borderId="0" xfId="9" applyFont="1"/>
    <xf numFmtId="43" fontId="110" fillId="0" borderId="0" xfId="9" applyFont="1" applyAlignment="1">
      <alignment horizontal="center" vertical="center"/>
    </xf>
    <xf numFmtId="43" fontId="110" fillId="0" borderId="0" xfId="9" applyFont="1" applyAlignment="1">
      <alignment horizontal="center" vertical="center" wrapText="1"/>
    </xf>
    <xf numFmtId="43" fontId="0" fillId="0" borderId="17" xfId="9" applyFont="1" applyBorder="1" applyAlignment="1">
      <alignment horizontal="center" vertical="center" wrapText="1"/>
    </xf>
    <xf numFmtId="43" fontId="0" fillId="95" borderId="17" xfId="9" applyFont="1" applyFill="1" applyBorder="1"/>
    <xf numFmtId="43" fontId="0" fillId="0" borderId="17" xfId="9" applyFont="1" applyBorder="1"/>
    <xf numFmtId="0" fontId="6" fillId="54" borderId="0" xfId="0" applyFont="1" applyFill="1"/>
    <xf numFmtId="43" fontId="2" fillId="0" borderId="0" xfId="0" applyNumberFormat="1" applyFont="1" applyAlignment="1">
      <alignment horizontal="center" vertical="center"/>
    </xf>
    <xf numFmtId="0" fontId="2" fillId="0" borderId="0" xfId="0" applyFont="1" applyAlignment="1">
      <alignment horizontal="center" vertical="center" wrapText="1"/>
    </xf>
    <xf numFmtId="167" fontId="0" fillId="0" borderId="0" xfId="9" applyNumberFormat="1" applyFont="1" applyFill="1"/>
    <xf numFmtId="0" fontId="2" fillId="55" borderId="0" xfId="0" applyFont="1" applyFill="1"/>
    <xf numFmtId="2" fontId="2" fillId="0" borderId="0" xfId="0" applyNumberFormat="1" applyFont="1"/>
    <xf numFmtId="49" fontId="2" fillId="0" borderId="0" xfId="0" applyNumberFormat="1" applyFont="1" applyAlignment="1">
      <alignment horizontal="center" vertical="center"/>
    </xf>
    <xf numFmtId="0" fontId="6" fillId="55" borderId="0" xfId="0" applyFont="1" applyFill="1" applyAlignment="1">
      <alignment horizontal="left"/>
    </xf>
    <xf numFmtId="0" fontId="2" fillId="0" borderId="35" xfId="0" applyFont="1" applyBorder="1"/>
    <xf numFmtId="0" fontId="2" fillId="0" borderId="37" xfId="0" applyFont="1" applyBorder="1"/>
    <xf numFmtId="0" fontId="79" fillId="0" borderId="0" xfId="0" applyFont="1" applyAlignment="1">
      <alignment horizontal="center" vertical="center"/>
    </xf>
    <xf numFmtId="0" fontId="49" fillId="0" borderId="0" xfId="0" applyFont="1" applyAlignment="1">
      <alignment horizontal="center" vertical="center"/>
    </xf>
    <xf numFmtId="0" fontId="0" fillId="0" borderId="0" xfId="0" applyAlignment="1">
      <alignment horizontal="left"/>
    </xf>
    <xf numFmtId="0" fontId="49" fillId="0" borderId="35" xfId="0" applyFont="1" applyBorder="1" applyAlignment="1">
      <alignment horizontal="left" vertical="top" wrapText="1"/>
    </xf>
    <xf numFmtId="0" fontId="49" fillId="0" borderId="36" xfId="0" applyFont="1" applyBorder="1" applyAlignment="1">
      <alignment horizontal="left" vertical="top" wrapText="1"/>
    </xf>
    <xf numFmtId="0" fontId="49" fillId="0" borderId="37" xfId="0" applyFont="1" applyBorder="1" applyAlignment="1">
      <alignment horizontal="left" vertical="top" wrapText="1"/>
    </xf>
    <xf numFmtId="0" fontId="1" fillId="0" borderId="26" xfId="0" applyFont="1" applyBorder="1" applyAlignment="1">
      <alignment horizontal="left" vertical="top" wrapText="1"/>
    </xf>
    <xf numFmtId="0" fontId="1" fillId="0" borderId="0" xfId="0" applyFont="1" applyAlignment="1">
      <alignment horizontal="left" vertical="top" wrapText="1"/>
    </xf>
    <xf numFmtId="0" fontId="1" fillId="0" borderId="27" xfId="0" applyFont="1" applyBorder="1" applyAlignment="1">
      <alignment horizontal="left" vertical="top" wrapText="1"/>
    </xf>
    <xf numFmtId="0" fontId="0" fillId="0" borderId="26" xfId="0" applyBorder="1" applyAlignment="1">
      <alignment horizontal="left" vertical="center" wrapText="1"/>
    </xf>
    <xf numFmtId="0" fontId="0" fillId="0" borderId="0" xfId="0" applyAlignment="1">
      <alignment horizontal="left" vertical="center" wrapText="1"/>
    </xf>
    <xf numFmtId="0" fontId="0" fillId="0" borderId="27" xfId="0" applyBorder="1" applyAlignment="1">
      <alignment horizontal="left" vertical="center" wrapText="1"/>
    </xf>
    <xf numFmtId="0" fontId="0" fillId="0" borderId="26" xfId="0" applyBorder="1" applyAlignment="1">
      <alignment horizontal="left" vertical="top" wrapText="1"/>
    </xf>
    <xf numFmtId="0" fontId="0" fillId="0" borderId="0" xfId="0" applyAlignment="1">
      <alignment horizontal="left" vertical="top" wrapText="1"/>
    </xf>
    <xf numFmtId="0" fontId="0" fillId="0" borderId="27" xfId="0" applyBorder="1" applyAlignment="1">
      <alignment horizontal="left" vertical="top" wrapText="1"/>
    </xf>
    <xf numFmtId="0" fontId="1" fillId="0" borderId="26" xfId="0" applyFont="1" applyBorder="1" applyAlignment="1">
      <alignment horizontal="left" vertical="center" wrapText="1"/>
    </xf>
    <xf numFmtId="0" fontId="1" fillId="0" borderId="0" xfId="0" applyFont="1" applyAlignment="1">
      <alignment horizontal="left" vertical="center" wrapText="1"/>
    </xf>
    <xf numFmtId="0" fontId="1" fillId="0" borderId="27" xfId="0" applyFont="1" applyBorder="1" applyAlignment="1">
      <alignment horizontal="left" vertical="center" wrapText="1"/>
    </xf>
    <xf numFmtId="0" fontId="6" fillId="0" borderId="26" xfId="0" applyFont="1" applyBorder="1" applyAlignment="1">
      <alignment horizontal="left" vertical="center" wrapText="1"/>
    </xf>
    <xf numFmtId="0" fontId="6" fillId="0" borderId="0" xfId="0" applyFont="1" applyAlignment="1">
      <alignment horizontal="left" vertical="center" wrapText="1"/>
    </xf>
    <xf numFmtId="0" fontId="6" fillId="0" borderId="27" xfId="0" applyFont="1" applyBorder="1" applyAlignment="1">
      <alignment horizontal="left" vertical="center" wrapText="1"/>
    </xf>
    <xf numFmtId="0" fontId="0" fillId="55" borderId="26" xfId="0" applyFill="1" applyBorder="1" applyAlignment="1">
      <alignment horizontal="left" vertical="center" wrapText="1"/>
    </xf>
    <xf numFmtId="0" fontId="0" fillId="55" borderId="0" xfId="0" applyFill="1" applyAlignment="1">
      <alignment horizontal="left" vertical="center" wrapText="1"/>
    </xf>
    <xf numFmtId="0" fontId="0" fillId="55" borderId="27" xfId="0" applyFill="1" applyBorder="1" applyAlignment="1">
      <alignment horizontal="left" vertical="center" wrapText="1"/>
    </xf>
    <xf numFmtId="0" fontId="0" fillId="55" borderId="28" xfId="0" applyFill="1" applyBorder="1" applyAlignment="1">
      <alignment horizontal="left" vertical="center" wrapText="1"/>
    </xf>
    <xf numFmtId="0" fontId="0" fillId="55" borderId="29" xfId="0" applyFill="1" applyBorder="1" applyAlignment="1">
      <alignment horizontal="left" vertical="center" wrapText="1"/>
    </xf>
    <xf numFmtId="0" fontId="0" fillId="55" borderId="30" xfId="0" applyFill="1" applyBorder="1" applyAlignment="1">
      <alignment horizontal="left" vertical="center" wrapText="1"/>
    </xf>
    <xf numFmtId="0" fontId="10" fillId="55" borderId="29" xfId="0" applyFont="1" applyFill="1" applyBorder="1" applyAlignment="1">
      <alignment horizontal="left" vertical="center" wrapText="1"/>
    </xf>
    <xf numFmtId="0" fontId="74" fillId="0" borderId="9" xfId="0" applyFont="1" applyBorder="1" applyAlignment="1">
      <alignment horizontal="left" vertical="top" wrapText="1"/>
    </xf>
    <xf numFmtId="0" fontId="74" fillId="0" borderId="10" xfId="0" applyFont="1" applyBorder="1" applyAlignment="1">
      <alignment horizontal="left" vertical="top" wrapText="1"/>
    </xf>
    <xf numFmtId="0" fontId="74" fillId="0" borderId="11" xfId="0" applyFont="1" applyBorder="1" applyAlignment="1">
      <alignment horizontal="left" vertical="top" wrapText="1"/>
    </xf>
    <xf numFmtId="0" fontId="74" fillId="0" borderId="12" xfId="0" applyFont="1" applyBorder="1" applyAlignment="1">
      <alignment horizontal="left" vertical="top" wrapText="1"/>
    </xf>
    <xf numFmtId="0" fontId="74" fillId="0" borderId="13" xfId="0" applyFont="1" applyBorder="1" applyAlignment="1">
      <alignment horizontal="left" vertical="top" wrapText="1"/>
    </xf>
    <xf numFmtId="0" fontId="74" fillId="0" borderId="14" xfId="0" applyFont="1" applyBorder="1" applyAlignment="1">
      <alignment horizontal="left" vertical="top" wrapText="1"/>
    </xf>
    <xf numFmtId="0" fontId="83" fillId="4" borderId="0" xfId="0" applyFont="1" applyFill="1" applyAlignment="1">
      <alignment horizontal="center"/>
    </xf>
    <xf numFmtId="0" fontId="79" fillId="0" borderId="35" xfId="0" applyFont="1" applyBorder="1" applyAlignment="1">
      <alignment horizontal="center" vertical="center"/>
    </xf>
    <xf numFmtId="0" fontId="79" fillId="0" borderId="36" xfId="0" applyFont="1" applyBorder="1" applyAlignment="1">
      <alignment horizontal="center" vertical="center"/>
    </xf>
    <xf numFmtId="0" fontId="82" fillId="0" borderId="35" xfId="0" applyFont="1" applyBorder="1" applyAlignment="1">
      <alignment horizontal="center"/>
    </xf>
    <xf numFmtId="0" fontId="82" fillId="0" borderId="36" xfId="0" applyFont="1" applyBorder="1" applyAlignment="1">
      <alignment horizontal="center"/>
    </xf>
    <xf numFmtId="0" fontId="82" fillId="0" borderId="37" xfId="0" applyFont="1" applyBorder="1" applyAlignment="1">
      <alignment horizontal="center"/>
    </xf>
    <xf numFmtId="0" fontId="50" fillId="0" borderId="28" xfId="0" applyFont="1" applyBorder="1" applyAlignment="1">
      <alignment horizontal="center" vertical="center" wrapText="1"/>
    </xf>
    <xf numFmtId="0" fontId="50" fillId="0" borderId="29" xfId="0" applyFont="1" applyBorder="1" applyAlignment="1">
      <alignment horizontal="center" vertical="center" wrapText="1"/>
    </xf>
    <xf numFmtId="0" fontId="50" fillId="0" borderId="30" xfId="0" applyFont="1" applyBorder="1" applyAlignment="1">
      <alignment horizontal="center" vertical="center" wrapText="1"/>
    </xf>
    <xf numFmtId="0" fontId="78" fillId="12" borderId="38" xfId="0" applyFont="1" applyFill="1" applyBorder="1" applyAlignment="1">
      <alignment horizontal="center" vertical="top" wrapText="1"/>
    </xf>
    <xf numFmtId="0" fontId="78" fillId="12" borderId="39" xfId="0" applyFont="1" applyFill="1" applyBorder="1" applyAlignment="1">
      <alignment horizontal="center" vertical="top" wrapText="1"/>
    </xf>
    <xf numFmtId="0" fontId="1" fillId="0" borderId="0" xfId="0" applyFont="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10" fillId="0" borderId="5" xfId="0" applyFont="1" applyBorder="1" applyAlignment="1">
      <alignment horizontal="center"/>
    </xf>
    <xf numFmtId="0" fontId="11" fillId="15" borderId="15" xfId="8" applyFont="1" applyBorder="1" applyAlignment="1">
      <alignment horizontal="left" vertical="center" wrapText="1"/>
    </xf>
    <xf numFmtId="0" fontId="11" fillId="15" borderId="16" xfId="8" applyFont="1" applyBorder="1" applyAlignment="1">
      <alignment horizontal="left" vertical="center" wrapText="1"/>
    </xf>
    <xf numFmtId="0" fontId="12" fillId="0" borderId="35" xfId="0" applyFont="1" applyBorder="1" applyAlignment="1">
      <alignment horizontal="left" vertical="center" wrapText="1"/>
    </xf>
    <xf numFmtId="0" fontId="12" fillId="0" borderId="36" xfId="0" applyFont="1" applyBorder="1" applyAlignment="1">
      <alignment horizontal="left" vertical="center" wrapText="1"/>
    </xf>
    <xf numFmtId="0" fontId="12" fillId="0" borderId="37" xfId="0" applyFont="1" applyBorder="1" applyAlignment="1">
      <alignment horizontal="left" vertical="center" wrapText="1"/>
    </xf>
    <xf numFmtId="0" fontId="12" fillId="0" borderId="26" xfId="0" applyFont="1" applyBorder="1" applyAlignment="1">
      <alignment horizontal="left" vertical="center" wrapText="1"/>
    </xf>
    <xf numFmtId="0" fontId="12" fillId="0" borderId="0" xfId="0" applyFont="1" applyAlignment="1">
      <alignment horizontal="left" vertical="center" wrapText="1"/>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9" xfId="0" applyFont="1" applyBorder="1" applyAlignment="1">
      <alignment horizontal="left" vertical="center" wrapText="1"/>
    </xf>
    <xf numFmtId="0" fontId="12" fillId="0" borderId="30" xfId="0" applyFont="1" applyBorder="1" applyAlignment="1">
      <alignment horizontal="left" vertical="center" wrapText="1"/>
    </xf>
    <xf numFmtId="0" fontId="1" fillId="0" borderId="9" xfId="0" applyFont="1" applyBorder="1" applyAlignment="1">
      <alignment horizontal="left" vertical="center" wrapText="1"/>
    </xf>
    <xf numFmtId="0" fontId="1" fillId="0" borderId="54" xfId="0" applyFont="1" applyBorder="1" applyAlignment="1">
      <alignment horizontal="left" vertical="center" wrapText="1"/>
    </xf>
    <xf numFmtId="0" fontId="1" fillId="0" borderId="10" xfId="0" applyFont="1" applyBorder="1" applyAlignment="1">
      <alignment horizontal="left" vertical="center" wrapText="1"/>
    </xf>
    <xf numFmtId="0" fontId="1" fillId="0" borderId="11" xfId="0" applyFont="1" applyBorder="1" applyAlignment="1">
      <alignment horizontal="left" vertical="center" wrapText="1"/>
    </xf>
    <xf numFmtId="0" fontId="1" fillId="0" borderId="12" xfId="0" applyFont="1" applyBorder="1" applyAlignment="1">
      <alignment horizontal="left" vertical="center" wrapText="1"/>
    </xf>
    <xf numFmtId="0" fontId="0" fillId="48" borderId="0" xfId="0" applyFill="1" applyAlignment="1">
      <alignment horizontal="left" vertical="center" wrapText="1"/>
    </xf>
    <xf numFmtId="0" fontId="13" fillId="0" borderId="0" xfId="0" applyFont="1" applyAlignment="1">
      <alignment horizontal="center" vertical="center" wrapText="1" readingOrder="1"/>
    </xf>
    <xf numFmtId="0" fontId="11" fillId="70" borderId="0" xfId="0" applyFont="1" applyFill="1" applyAlignment="1">
      <alignment horizontal="left" vertical="center" wrapText="1"/>
    </xf>
    <xf numFmtId="0" fontId="49" fillId="0" borderId="0" xfId="0" applyFont="1" applyAlignment="1">
      <alignment horizontal="center"/>
    </xf>
    <xf numFmtId="0" fontId="53" fillId="56" borderId="47" xfId="0" applyFont="1" applyFill="1" applyBorder="1" applyAlignment="1">
      <alignment horizontal="center" vertical="center" wrapText="1"/>
    </xf>
    <xf numFmtId="0" fontId="0" fillId="56" borderId="48" xfId="0" applyFill="1" applyBorder="1" applyAlignment="1">
      <alignment horizontal="center" vertical="center" wrapText="1"/>
    </xf>
    <xf numFmtId="0" fontId="0" fillId="75" borderId="26" xfId="0" applyFill="1" applyBorder="1" applyAlignment="1">
      <alignment horizontal="center"/>
    </xf>
    <xf numFmtId="0" fontId="0" fillId="75" borderId="0" xfId="0" applyFill="1" applyAlignment="1">
      <alignment horizontal="center"/>
    </xf>
    <xf numFmtId="0" fontId="0" fillId="0" borderId="0" xfId="0" applyAlignment="1">
      <alignment horizontal="center" vertical="center" wrapText="1"/>
    </xf>
    <xf numFmtId="0" fontId="12" fillId="0" borderId="0" xfId="0" applyFont="1" applyAlignment="1">
      <alignment horizontal="center" vertical="center" wrapText="1"/>
    </xf>
    <xf numFmtId="0" fontId="1" fillId="0" borderId="0" xfId="0" applyFont="1" applyAlignment="1">
      <alignment horizontal="center" vertical="center" wrapText="1"/>
    </xf>
    <xf numFmtId="0" fontId="13" fillId="0" borderId="0" xfId="0" applyFont="1" applyAlignment="1">
      <alignment horizontal="center"/>
    </xf>
    <xf numFmtId="0" fontId="53" fillId="54" borderId="0" xfId="0" applyFont="1" applyFill="1" applyAlignment="1">
      <alignment horizontal="center" vertical="center" wrapText="1"/>
    </xf>
    <xf numFmtId="0" fontId="0" fillId="0" borderId="0" xfId="0" applyAlignment="1">
      <alignment horizontal="center"/>
    </xf>
    <xf numFmtId="0" fontId="11" fillId="0" borderId="0" xfId="0" applyFont="1" applyAlignment="1">
      <alignment horizontal="center" vertical="center" wrapText="1"/>
    </xf>
    <xf numFmtId="43" fontId="110" fillId="0" borderId="2" xfId="9" applyFont="1" applyFill="1" applyBorder="1" applyAlignment="1">
      <alignment horizontal="center" vertical="center" wrapText="1"/>
    </xf>
    <xf numFmtId="43" fontId="0" fillId="0" borderId="17" xfId="9" applyFont="1" applyFill="1" applyBorder="1" applyAlignment="1">
      <alignment horizontal="center" vertical="center" wrapText="1"/>
    </xf>
    <xf numFmtId="0" fontId="110" fillId="48" borderId="0" xfId="0" applyFont="1" applyFill="1" applyAlignment="1">
      <alignment horizontal="center" vertical="center"/>
    </xf>
    <xf numFmtId="0" fontId="0" fillId="55" borderId="0" xfId="0" applyFill="1" applyAlignment="1">
      <alignment vertical="center"/>
    </xf>
    <xf numFmtId="43" fontId="0" fillId="55" borderId="0" xfId="9" applyFont="1" applyFill="1" applyAlignment="1">
      <alignment vertical="center"/>
    </xf>
  </cellXfs>
  <cellStyles count="5342">
    <cellStyle name="20% - Accent1" xfId="58" builtinId="30" customBuiltin="1"/>
    <cellStyle name="20% - Accent1 10" xfId="923" xr:uid="{00000000-0005-0000-0000-000001000000}"/>
    <cellStyle name="20% - Accent1 10 2" xfId="2215" xr:uid="{00000000-0005-0000-0000-000002000000}"/>
    <cellStyle name="20% - Accent1 10 3" xfId="3493" xr:uid="{00000000-0005-0000-0000-000003000000}"/>
    <cellStyle name="20% - Accent1 10 4" xfId="4780" xr:uid="{00000000-0005-0000-0000-000004000000}"/>
    <cellStyle name="20% - Accent1 11" xfId="1363" xr:uid="{00000000-0005-0000-0000-000005000000}"/>
    <cellStyle name="20% - Accent1 12" xfId="2641" xr:uid="{00000000-0005-0000-0000-000006000000}"/>
    <cellStyle name="20% - Accent1 13" xfId="3928" xr:uid="{00000000-0005-0000-0000-000007000000}"/>
    <cellStyle name="20% - Accent1 14" xfId="5206" xr:uid="{00000000-0005-0000-0000-000008000000}"/>
    <cellStyle name="20% - Accent1 2" xfId="10" xr:uid="{00000000-0005-0000-0000-000009000000}"/>
    <cellStyle name="20% - Accent1 2 10" xfId="1364" xr:uid="{00000000-0005-0000-0000-00000A000000}"/>
    <cellStyle name="20% - Accent1 2 11" xfId="2642" xr:uid="{00000000-0005-0000-0000-00000B000000}"/>
    <cellStyle name="20% - Accent1 2 12" xfId="3929" xr:uid="{00000000-0005-0000-0000-00000C000000}"/>
    <cellStyle name="20% - Accent1 2 13" xfId="5207" xr:uid="{00000000-0005-0000-0000-00000D000000}"/>
    <cellStyle name="20% - Accent1 2 2" xfId="83" xr:uid="{00000000-0005-0000-0000-00000E000000}"/>
    <cellStyle name="20% - Accent1 2 2 2" xfId="84" xr:uid="{00000000-0005-0000-0000-00000F000000}"/>
    <cellStyle name="20% - Accent1 2 2 2 2" xfId="287" xr:uid="{00000000-0005-0000-0000-000010000000}"/>
    <cellStyle name="20% - Accent1 2 2 2 2 2" xfId="713" xr:uid="{00000000-0005-0000-0000-000011000000}"/>
    <cellStyle name="20% - Accent1 2 2 2 2 2 2" xfId="2005" xr:uid="{00000000-0005-0000-0000-000012000000}"/>
    <cellStyle name="20% - Accent1 2 2 2 2 2 3" xfId="3283" xr:uid="{00000000-0005-0000-0000-000013000000}"/>
    <cellStyle name="20% - Accent1 2 2 2 2 2 4" xfId="4570" xr:uid="{00000000-0005-0000-0000-000014000000}"/>
    <cellStyle name="20% - Accent1 2 2 2 2 3" xfId="1139" xr:uid="{00000000-0005-0000-0000-000015000000}"/>
    <cellStyle name="20% - Accent1 2 2 2 2 3 2" xfId="2431" xr:uid="{00000000-0005-0000-0000-000016000000}"/>
    <cellStyle name="20% - Accent1 2 2 2 2 3 3" xfId="3709" xr:uid="{00000000-0005-0000-0000-000017000000}"/>
    <cellStyle name="20% - Accent1 2 2 2 2 3 4" xfId="4996" xr:uid="{00000000-0005-0000-0000-000018000000}"/>
    <cellStyle name="20% - Accent1 2 2 2 2 4" xfId="1579" xr:uid="{00000000-0005-0000-0000-000019000000}"/>
    <cellStyle name="20% - Accent1 2 2 2 2 5" xfId="2857" xr:uid="{00000000-0005-0000-0000-00001A000000}"/>
    <cellStyle name="20% - Accent1 2 2 2 2 6" xfId="4144" xr:uid="{00000000-0005-0000-0000-00001B000000}"/>
    <cellStyle name="20% - Accent1 2 2 2 3" xfId="500" xr:uid="{00000000-0005-0000-0000-00001C000000}"/>
    <cellStyle name="20% - Accent1 2 2 2 3 2" xfId="1792" xr:uid="{00000000-0005-0000-0000-00001D000000}"/>
    <cellStyle name="20% - Accent1 2 2 2 3 3" xfId="3070" xr:uid="{00000000-0005-0000-0000-00001E000000}"/>
    <cellStyle name="20% - Accent1 2 2 2 3 4" xfId="4357" xr:uid="{00000000-0005-0000-0000-00001F000000}"/>
    <cellStyle name="20% - Accent1 2 2 2 4" xfId="926" xr:uid="{00000000-0005-0000-0000-000020000000}"/>
    <cellStyle name="20% - Accent1 2 2 2 4 2" xfId="2218" xr:uid="{00000000-0005-0000-0000-000021000000}"/>
    <cellStyle name="20% - Accent1 2 2 2 4 3" xfId="3496" xr:uid="{00000000-0005-0000-0000-000022000000}"/>
    <cellStyle name="20% - Accent1 2 2 2 4 4" xfId="4783" xr:uid="{00000000-0005-0000-0000-000023000000}"/>
    <cellStyle name="20% - Accent1 2 2 2 5" xfId="1366" xr:uid="{00000000-0005-0000-0000-000024000000}"/>
    <cellStyle name="20% - Accent1 2 2 2 6" xfId="2644" xr:uid="{00000000-0005-0000-0000-000025000000}"/>
    <cellStyle name="20% - Accent1 2 2 2 7" xfId="3931" xr:uid="{00000000-0005-0000-0000-000026000000}"/>
    <cellStyle name="20% - Accent1 2 2 2 8" xfId="5209" xr:uid="{00000000-0005-0000-0000-000027000000}"/>
    <cellStyle name="20% - Accent1 2 2 3" xfId="286" xr:uid="{00000000-0005-0000-0000-000028000000}"/>
    <cellStyle name="20% - Accent1 2 2 3 2" xfId="712" xr:uid="{00000000-0005-0000-0000-000029000000}"/>
    <cellStyle name="20% - Accent1 2 2 3 2 2" xfId="2004" xr:uid="{00000000-0005-0000-0000-00002A000000}"/>
    <cellStyle name="20% - Accent1 2 2 3 2 3" xfId="3282" xr:uid="{00000000-0005-0000-0000-00002B000000}"/>
    <cellStyle name="20% - Accent1 2 2 3 2 4" xfId="4569" xr:uid="{00000000-0005-0000-0000-00002C000000}"/>
    <cellStyle name="20% - Accent1 2 2 3 3" xfId="1138" xr:uid="{00000000-0005-0000-0000-00002D000000}"/>
    <cellStyle name="20% - Accent1 2 2 3 3 2" xfId="2430" xr:uid="{00000000-0005-0000-0000-00002E000000}"/>
    <cellStyle name="20% - Accent1 2 2 3 3 3" xfId="3708" xr:uid="{00000000-0005-0000-0000-00002F000000}"/>
    <cellStyle name="20% - Accent1 2 2 3 3 4" xfId="4995" xr:uid="{00000000-0005-0000-0000-000030000000}"/>
    <cellStyle name="20% - Accent1 2 2 3 4" xfId="1578" xr:uid="{00000000-0005-0000-0000-000031000000}"/>
    <cellStyle name="20% - Accent1 2 2 3 5" xfId="2856" xr:uid="{00000000-0005-0000-0000-000032000000}"/>
    <cellStyle name="20% - Accent1 2 2 3 6" xfId="4143" xr:uid="{00000000-0005-0000-0000-000033000000}"/>
    <cellStyle name="20% - Accent1 2 2 4" xfId="499" xr:uid="{00000000-0005-0000-0000-000034000000}"/>
    <cellStyle name="20% - Accent1 2 2 4 2" xfId="1791" xr:uid="{00000000-0005-0000-0000-000035000000}"/>
    <cellStyle name="20% - Accent1 2 2 4 3" xfId="3069" xr:uid="{00000000-0005-0000-0000-000036000000}"/>
    <cellStyle name="20% - Accent1 2 2 4 4" xfId="4356" xr:uid="{00000000-0005-0000-0000-000037000000}"/>
    <cellStyle name="20% - Accent1 2 2 5" xfId="925" xr:uid="{00000000-0005-0000-0000-000038000000}"/>
    <cellStyle name="20% - Accent1 2 2 5 2" xfId="2217" xr:uid="{00000000-0005-0000-0000-000039000000}"/>
    <cellStyle name="20% - Accent1 2 2 5 3" xfId="3495" xr:uid="{00000000-0005-0000-0000-00003A000000}"/>
    <cellStyle name="20% - Accent1 2 2 5 4" xfId="4782" xr:uid="{00000000-0005-0000-0000-00003B000000}"/>
    <cellStyle name="20% - Accent1 2 2 6" xfId="1365" xr:uid="{00000000-0005-0000-0000-00003C000000}"/>
    <cellStyle name="20% - Accent1 2 2 7" xfId="2643" xr:uid="{00000000-0005-0000-0000-00003D000000}"/>
    <cellStyle name="20% - Accent1 2 2 8" xfId="3930" xr:uid="{00000000-0005-0000-0000-00003E000000}"/>
    <cellStyle name="20% - Accent1 2 2 9" xfId="5208" xr:uid="{00000000-0005-0000-0000-00003F000000}"/>
    <cellStyle name="20% - Accent1 2 3" xfId="85" xr:uid="{00000000-0005-0000-0000-000040000000}"/>
    <cellStyle name="20% - Accent1 2 3 2" xfId="288" xr:uid="{00000000-0005-0000-0000-000041000000}"/>
    <cellStyle name="20% - Accent1 2 3 2 2" xfId="714" xr:uid="{00000000-0005-0000-0000-000042000000}"/>
    <cellStyle name="20% - Accent1 2 3 2 2 2" xfId="2006" xr:uid="{00000000-0005-0000-0000-000043000000}"/>
    <cellStyle name="20% - Accent1 2 3 2 2 3" xfId="3284" xr:uid="{00000000-0005-0000-0000-000044000000}"/>
    <cellStyle name="20% - Accent1 2 3 2 2 4" xfId="4571" xr:uid="{00000000-0005-0000-0000-000045000000}"/>
    <cellStyle name="20% - Accent1 2 3 2 3" xfId="1140" xr:uid="{00000000-0005-0000-0000-000046000000}"/>
    <cellStyle name="20% - Accent1 2 3 2 3 2" xfId="2432" xr:uid="{00000000-0005-0000-0000-000047000000}"/>
    <cellStyle name="20% - Accent1 2 3 2 3 3" xfId="3710" xr:uid="{00000000-0005-0000-0000-000048000000}"/>
    <cellStyle name="20% - Accent1 2 3 2 3 4" xfId="4997" xr:uid="{00000000-0005-0000-0000-000049000000}"/>
    <cellStyle name="20% - Accent1 2 3 2 4" xfId="1580" xr:uid="{00000000-0005-0000-0000-00004A000000}"/>
    <cellStyle name="20% - Accent1 2 3 2 5" xfId="2858" xr:uid="{00000000-0005-0000-0000-00004B000000}"/>
    <cellStyle name="20% - Accent1 2 3 2 6" xfId="4145" xr:uid="{00000000-0005-0000-0000-00004C000000}"/>
    <cellStyle name="20% - Accent1 2 3 3" xfId="501" xr:uid="{00000000-0005-0000-0000-00004D000000}"/>
    <cellStyle name="20% - Accent1 2 3 3 2" xfId="1793" xr:uid="{00000000-0005-0000-0000-00004E000000}"/>
    <cellStyle name="20% - Accent1 2 3 3 3" xfId="3071" xr:uid="{00000000-0005-0000-0000-00004F000000}"/>
    <cellStyle name="20% - Accent1 2 3 3 4" xfId="4358" xr:uid="{00000000-0005-0000-0000-000050000000}"/>
    <cellStyle name="20% - Accent1 2 3 4" xfId="927" xr:uid="{00000000-0005-0000-0000-000051000000}"/>
    <cellStyle name="20% - Accent1 2 3 4 2" xfId="2219" xr:uid="{00000000-0005-0000-0000-000052000000}"/>
    <cellStyle name="20% - Accent1 2 3 4 3" xfId="3497" xr:uid="{00000000-0005-0000-0000-000053000000}"/>
    <cellStyle name="20% - Accent1 2 3 4 4" xfId="4784" xr:uid="{00000000-0005-0000-0000-000054000000}"/>
    <cellStyle name="20% - Accent1 2 3 5" xfId="1367" xr:uid="{00000000-0005-0000-0000-000055000000}"/>
    <cellStyle name="20% - Accent1 2 3 6" xfId="2645" xr:uid="{00000000-0005-0000-0000-000056000000}"/>
    <cellStyle name="20% - Accent1 2 3 7" xfId="3932" xr:uid="{00000000-0005-0000-0000-000057000000}"/>
    <cellStyle name="20% - Accent1 2 3 8" xfId="5210" xr:uid="{00000000-0005-0000-0000-000058000000}"/>
    <cellStyle name="20% - Accent1 2 4" xfId="86" xr:uid="{00000000-0005-0000-0000-000059000000}"/>
    <cellStyle name="20% - Accent1 2 4 2" xfId="289" xr:uid="{00000000-0005-0000-0000-00005A000000}"/>
    <cellStyle name="20% - Accent1 2 4 2 2" xfId="715" xr:uid="{00000000-0005-0000-0000-00005B000000}"/>
    <cellStyle name="20% - Accent1 2 4 2 2 2" xfId="2007" xr:uid="{00000000-0005-0000-0000-00005C000000}"/>
    <cellStyle name="20% - Accent1 2 4 2 2 3" xfId="3285" xr:uid="{00000000-0005-0000-0000-00005D000000}"/>
    <cellStyle name="20% - Accent1 2 4 2 2 4" xfId="4572" xr:uid="{00000000-0005-0000-0000-00005E000000}"/>
    <cellStyle name="20% - Accent1 2 4 2 3" xfId="1141" xr:uid="{00000000-0005-0000-0000-00005F000000}"/>
    <cellStyle name="20% - Accent1 2 4 2 3 2" xfId="2433" xr:uid="{00000000-0005-0000-0000-000060000000}"/>
    <cellStyle name="20% - Accent1 2 4 2 3 3" xfId="3711" xr:uid="{00000000-0005-0000-0000-000061000000}"/>
    <cellStyle name="20% - Accent1 2 4 2 3 4" xfId="4998" xr:uid="{00000000-0005-0000-0000-000062000000}"/>
    <cellStyle name="20% - Accent1 2 4 2 4" xfId="1581" xr:uid="{00000000-0005-0000-0000-000063000000}"/>
    <cellStyle name="20% - Accent1 2 4 2 5" xfId="2859" xr:uid="{00000000-0005-0000-0000-000064000000}"/>
    <cellStyle name="20% - Accent1 2 4 2 6" xfId="4146" xr:uid="{00000000-0005-0000-0000-000065000000}"/>
    <cellStyle name="20% - Accent1 2 4 3" xfId="502" xr:uid="{00000000-0005-0000-0000-000066000000}"/>
    <cellStyle name="20% - Accent1 2 4 3 2" xfId="1794" xr:uid="{00000000-0005-0000-0000-000067000000}"/>
    <cellStyle name="20% - Accent1 2 4 3 3" xfId="3072" xr:uid="{00000000-0005-0000-0000-000068000000}"/>
    <cellStyle name="20% - Accent1 2 4 3 4" xfId="4359" xr:uid="{00000000-0005-0000-0000-000069000000}"/>
    <cellStyle name="20% - Accent1 2 4 4" xfId="928" xr:uid="{00000000-0005-0000-0000-00006A000000}"/>
    <cellStyle name="20% - Accent1 2 4 4 2" xfId="2220" xr:uid="{00000000-0005-0000-0000-00006B000000}"/>
    <cellStyle name="20% - Accent1 2 4 4 3" xfId="3498" xr:uid="{00000000-0005-0000-0000-00006C000000}"/>
    <cellStyle name="20% - Accent1 2 4 4 4" xfId="4785" xr:uid="{00000000-0005-0000-0000-00006D000000}"/>
    <cellStyle name="20% - Accent1 2 4 5" xfId="1368" xr:uid="{00000000-0005-0000-0000-00006E000000}"/>
    <cellStyle name="20% - Accent1 2 4 6" xfId="2646" xr:uid="{00000000-0005-0000-0000-00006F000000}"/>
    <cellStyle name="20% - Accent1 2 4 7" xfId="3933" xr:uid="{00000000-0005-0000-0000-000070000000}"/>
    <cellStyle name="20% - Accent1 2 5" xfId="87" xr:uid="{00000000-0005-0000-0000-000071000000}"/>
    <cellStyle name="20% - Accent1 2 5 2" xfId="290" xr:uid="{00000000-0005-0000-0000-000072000000}"/>
    <cellStyle name="20% - Accent1 2 5 2 2" xfId="716" xr:uid="{00000000-0005-0000-0000-000073000000}"/>
    <cellStyle name="20% - Accent1 2 5 2 2 2" xfId="2008" xr:uid="{00000000-0005-0000-0000-000074000000}"/>
    <cellStyle name="20% - Accent1 2 5 2 2 3" xfId="3286" xr:uid="{00000000-0005-0000-0000-000075000000}"/>
    <cellStyle name="20% - Accent1 2 5 2 2 4" xfId="4573" xr:uid="{00000000-0005-0000-0000-000076000000}"/>
    <cellStyle name="20% - Accent1 2 5 2 3" xfId="1142" xr:uid="{00000000-0005-0000-0000-000077000000}"/>
    <cellStyle name="20% - Accent1 2 5 2 3 2" xfId="2434" xr:uid="{00000000-0005-0000-0000-000078000000}"/>
    <cellStyle name="20% - Accent1 2 5 2 3 3" xfId="3712" xr:uid="{00000000-0005-0000-0000-000079000000}"/>
    <cellStyle name="20% - Accent1 2 5 2 3 4" xfId="4999" xr:uid="{00000000-0005-0000-0000-00007A000000}"/>
    <cellStyle name="20% - Accent1 2 5 2 4" xfId="1582" xr:uid="{00000000-0005-0000-0000-00007B000000}"/>
    <cellStyle name="20% - Accent1 2 5 2 5" xfId="2860" xr:uid="{00000000-0005-0000-0000-00007C000000}"/>
    <cellStyle name="20% - Accent1 2 5 2 6" xfId="4147" xr:uid="{00000000-0005-0000-0000-00007D000000}"/>
    <cellStyle name="20% - Accent1 2 5 3" xfId="503" xr:uid="{00000000-0005-0000-0000-00007E000000}"/>
    <cellStyle name="20% - Accent1 2 5 3 2" xfId="1795" xr:uid="{00000000-0005-0000-0000-00007F000000}"/>
    <cellStyle name="20% - Accent1 2 5 3 3" xfId="3073" xr:uid="{00000000-0005-0000-0000-000080000000}"/>
    <cellStyle name="20% - Accent1 2 5 3 4" xfId="4360" xr:uid="{00000000-0005-0000-0000-000081000000}"/>
    <cellStyle name="20% - Accent1 2 5 4" xfId="929" xr:uid="{00000000-0005-0000-0000-000082000000}"/>
    <cellStyle name="20% - Accent1 2 5 4 2" xfId="2221" xr:uid="{00000000-0005-0000-0000-000083000000}"/>
    <cellStyle name="20% - Accent1 2 5 4 3" xfId="3499" xr:uid="{00000000-0005-0000-0000-000084000000}"/>
    <cellStyle name="20% - Accent1 2 5 4 4" xfId="4786" xr:uid="{00000000-0005-0000-0000-000085000000}"/>
    <cellStyle name="20% - Accent1 2 5 5" xfId="1369" xr:uid="{00000000-0005-0000-0000-000086000000}"/>
    <cellStyle name="20% - Accent1 2 5 6" xfId="2647" xr:uid="{00000000-0005-0000-0000-000087000000}"/>
    <cellStyle name="20% - Accent1 2 5 7" xfId="3934" xr:uid="{00000000-0005-0000-0000-000088000000}"/>
    <cellStyle name="20% - Accent1 2 6" xfId="269" xr:uid="{00000000-0005-0000-0000-000089000000}"/>
    <cellStyle name="20% - Accent1 2 6 2" xfId="482" xr:uid="{00000000-0005-0000-0000-00008A000000}"/>
    <cellStyle name="20% - Accent1 2 6 2 2" xfId="907" xr:uid="{00000000-0005-0000-0000-00008B000000}"/>
    <cellStyle name="20% - Accent1 2 6 2 2 2" xfId="2199" xr:uid="{00000000-0005-0000-0000-00008C000000}"/>
    <cellStyle name="20% - Accent1 2 6 2 2 3" xfId="3477" xr:uid="{00000000-0005-0000-0000-00008D000000}"/>
    <cellStyle name="20% - Accent1 2 6 2 2 4" xfId="4764" xr:uid="{00000000-0005-0000-0000-00008E000000}"/>
    <cellStyle name="20% - Accent1 2 6 2 3" xfId="1333" xr:uid="{00000000-0005-0000-0000-00008F000000}"/>
    <cellStyle name="20% - Accent1 2 6 2 3 2" xfId="2625" xr:uid="{00000000-0005-0000-0000-000090000000}"/>
    <cellStyle name="20% - Accent1 2 6 2 3 3" xfId="3903" xr:uid="{00000000-0005-0000-0000-000091000000}"/>
    <cellStyle name="20% - Accent1 2 6 2 3 4" xfId="5190" xr:uid="{00000000-0005-0000-0000-000092000000}"/>
    <cellStyle name="20% - Accent1 2 6 2 4" xfId="1773" xr:uid="{00000000-0005-0000-0000-000093000000}"/>
    <cellStyle name="20% - Accent1 2 6 2 5" xfId="3051" xr:uid="{00000000-0005-0000-0000-000094000000}"/>
    <cellStyle name="20% - Accent1 2 6 2 6" xfId="4338" xr:uid="{00000000-0005-0000-0000-000095000000}"/>
    <cellStyle name="20% - Accent1 2 6 3" xfId="694" xr:uid="{00000000-0005-0000-0000-000096000000}"/>
    <cellStyle name="20% - Accent1 2 6 3 2" xfId="1986" xr:uid="{00000000-0005-0000-0000-000097000000}"/>
    <cellStyle name="20% - Accent1 2 6 3 3" xfId="3264" xr:uid="{00000000-0005-0000-0000-000098000000}"/>
    <cellStyle name="20% - Accent1 2 6 3 4" xfId="4551" xr:uid="{00000000-0005-0000-0000-000099000000}"/>
    <cellStyle name="20% - Accent1 2 6 4" xfId="1120" xr:uid="{00000000-0005-0000-0000-00009A000000}"/>
    <cellStyle name="20% - Accent1 2 6 4 2" xfId="2412" xr:uid="{00000000-0005-0000-0000-00009B000000}"/>
    <cellStyle name="20% - Accent1 2 6 4 3" xfId="3690" xr:uid="{00000000-0005-0000-0000-00009C000000}"/>
    <cellStyle name="20% - Accent1 2 6 4 4" xfId="4977" xr:uid="{00000000-0005-0000-0000-00009D000000}"/>
    <cellStyle name="20% - Accent1 2 6 5" xfId="1560" xr:uid="{00000000-0005-0000-0000-00009E000000}"/>
    <cellStyle name="20% - Accent1 2 6 6" xfId="2838" xr:uid="{00000000-0005-0000-0000-00009F000000}"/>
    <cellStyle name="20% - Accent1 2 6 7" xfId="4125" xr:uid="{00000000-0005-0000-0000-0000A0000000}"/>
    <cellStyle name="20% - Accent1 2 7" xfId="285" xr:uid="{00000000-0005-0000-0000-0000A1000000}"/>
    <cellStyle name="20% - Accent1 2 7 2" xfId="711" xr:uid="{00000000-0005-0000-0000-0000A2000000}"/>
    <cellStyle name="20% - Accent1 2 7 2 2" xfId="2003" xr:uid="{00000000-0005-0000-0000-0000A3000000}"/>
    <cellStyle name="20% - Accent1 2 7 2 3" xfId="3281" xr:uid="{00000000-0005-0000-0000-0000A4000000}"/>
    <cellStyle name="20% - Accent1 2 7 2 4" xfId="4568" xr:uid="{00000000-0005-0000-0000-0000A5000000}"/>
    <cellStyle name="20% - Accent1 2 7 3" xfId="1137" xr:uid="{00000000-0005-0000-0000-0000A6000000}"/>
    <cellStyle name="20% - Accent1 2 7 3 2" xfId="2429" xr:uid="{00000000-0005-0000-0000-0000A7000000}"/>
    <cellStyle name="20% - Accent1 2 7 3 3" xfId="3707" xr:uid="{00000000-0005-0000-0000-0000A8000000}"/>
    <cellStyle name="20% - Accent1 2 7 3 4" xfId="4994" xr:uid="{00000000-0005-0000-0000-0000A9000000}"/>
    <cellStyle name="20% - Accent1 2 7 4" xfId="1577" xr:uid="{00000000-0005-0000-0000-0000AA000000}"/>
    <cellStyle name="20% - Accent1 2 7 5" xfId="2855" xr:uid="{00000000-0005-0000-0000-0000AB000000}"/>
    <cellStyle name="20% - Accent1 2 7 6" xfId="4142" xr:uid="{00000000-0005-0000-0000-0000AC000000}"/>
    <cellStyle name="20% - Accent1 2 8" xfId="498" xr:uid="{00000000-0005-0000-0000-0000AD000000}"/>
    <cellStyle name="20% - Accent1 2 8 2" xfId="1790" xr:uid="{00000000-0005-0000-0000-0000AE000000}"/>
    <cellStyle name="20% - Accent1 2 8 3" xfId="3068" xr:uid="{00000000-0005-0000-0000-0000AF000000}"/>
    <cellStyle name="20% - Accent1 2 8 4" xfId="4355" xr:uid="{00000000-0005-0000-0000-0000B0000000}"/>
    <cellStyle name="20% - Accent1 2 9" xfId="924" xr:uid="{00000000-0005-0000-0000-0000B1000000}"/>
    <cellStyle name="20% - Accent1 2 9 2" xfId="2216" xr:uid="{00000000-0005-0000-0000-0000B2000000}"/>
    <cellStyle name="20% - Accent1 2 9 3" xfId="3494" xr:uid="{00000000-0005-0000-0000-0000B3000000}"/>
    <cellStyle name="20% - Accent1 2 9 4" xfId="4781" xr:uid="{00000000-0005-0000-0000-0000B4000000}"/>
    <cellStyle name="20% - Accent1 3" xfId="88" xr:uid="{00000000-0005-0000-0000-0000B5000000}"/>
    <cellStyle name="20% - Accent1 3 2" xfId="89" xr:uid="{00000000-0005-0000-0000-0000B6000000}"/>
    <cellStyle name="20% - Accent1 3 2 2" xfId="292" xr:uid="{00000000-0005-0000-0000-0000B7000000}"/>
    <cellStyle name="20% - Accent1 3 2 2 2" xfId="718" xr:uid="{00000000-0005-0000-0000-0000B8000000}"/>
    <cellStyle name="20% - Accent1 3 2 2 2 2" xfId="2010" xr:uid="{00000000-0005-0000-0000-0000B9000000}"/>
    <cellStyle name="20% - Accent1 3 2 2 2 3" xfId="3288" xr:uid="{00000000-0005-0000-0000-0000BA000000}"/>
    <cellStyle name="20% - Accent1 3 2 2 2 4" xfId="4575" xr:uid="{00000000-0005-0000-0000-0000BB000000}"/>
    <cellStyle name="20% - Accent1 3 2 2 3" xfId="1144" xr:uid="{00000000-0005-0000-0000-0000BC000000}"/>
    <cellStyle name="20% - Accent1 3 2 2 3 2" xfId="2436" xr:uid="{00000000-0005-0000-0000-0000BD000000}"/>
    <cellStyle name="20% - Accent1 3 2 2 3 3" xfId="3714" xr:uid="{00000000-0005-0000-0000-0000BE000000}"/>
    <cellStyle name="20% - Accent1 3 2 2 3 4" xfId="5001" xr:uid="{00000000-0005-0000-0000-0000BF000000}"/>
    <cellStyle name="20% - Accent1 3 2 2 4" xfId="1584" xr:uid="{00000000-0005-0000-0000-0000C0000000}"/>
    <cellStyle name="20% - Accent1 3 2 2 5" xfId="2862" xr:uid="{00000000-0005-0000-0000-0000C1000000}"/>
    <cellStyle name="20% - Accent1 3 2 2 6" xfId="4149" xr:uid="{00000000-0005-0000-0000-0000C2000000}"/>
    <cellStyle name="20% - Accent1 3 2 3" xfId="505" xr:uid="{00000000-0005-0000-0000-0000C3000000}"/>
    <cellStyle name="20% - Accent1 3 2 3 2" xfId="1797" xr:uid="{00000000-0005-0000-0000-0000C4000000}"/>
    <cellStyle name="20% - Accent1 3 2 3 3" xfId="3075" xr:uid="{00000000-0005-0000-0000-0000C5000000}"/>
    <cellStyle name="20% - Accent1 3 2 3 4" xfId="4362" xr:uid="{00000000-0005-0000-0000-0000C6000000}"/>
    <cellStyle name="20% - Accent1 3 2 4" xfId="931" xr:uid="{00000000-0005-0000-0000-0000C7000000}"/>
    <cellStyle name="20% - Accent1 3 2 4 2" xfId="2223" xr:uid="{00000000-0005-0000-0000-0000C8000000}"/>
    <cellStyle name="20% - Accent1 3 2 4 3" xfId="3501" xr:uid="{00000000-0005-0000-0000-0000C9000000}"/>
    <cellStyle name="20% - Accent1 3 2 4 4" xfId="4788" xr:uid="{00000000-0005-0000-0000-0000CA000000}"/>
    <cellStyle name="20% - Accent1 3 2 5" xfId="1371" xr:uid="{00000000-0005-0000-0000-0000CB000000}"/>
    <cellStyle name="20% - Accent1 3 2 6" xfId="2649" xr:uid="{00000000-0005-0000-0000-0000CC000000}"/>
    <cellStyle name="20% - Accent1 3 2 7" xfId="3936" xr:uid="{00000000-0005-0000-0000-0000CD000000}"/>
    <cellStyle name="20% - Accent1 3 2 8" xfId="5212" xr:uid="{00000000-0005-0000-0000-0000CE000000}"/>
    <cellStyle name="20% - Accent1 3 3" xfId="291" xr:uid="{00000000-0005-0000-0000-0000CF000000}"/>
    <cellStyle name="20% - Accent1 3 3 2" xfId="717" xr:uid="{00000000-0005-0000-0000-0000D0000000}"/>
    <cellStyle name="20% - Accent1 3 3 2 2" xfId="2009" xr:uid="{00000000-0005-0000-0000-0000D1000000}"/>
    <cellStyle name="20% - Accent1 3 3 2 3" xfId="3287" xr:uid="{00000000-0005-0000-0000-0000D2000000}"/>
    <cellStyle name="20% - Accent1 3 3 2 4" xfId="4574" xr:uid="{00000000-0005-0000-0000-0000D3000000}"/>
    <cellStyle name="20% - Accent1 3 3 3" xfId="1143" xr:uid="{00000000-0005-0000-0000-0000D4000000}"/>
    <cellStyle name="20% - Accent1 3 3 3 2" xfId="2435" xr:uid="{00000000-0005-0000-0000-0000D5000000}"/>
    <cellStyle name="20% - Accent1 3 3 3 3" xfId="3713" xr:uid="{00000000-0005-0000-0000-0000D6000000}"/>
    <cellStyle name="20% - Accent1 3 3 3 4" xfId="5000" xr:uid="{00000000-0005-0000-0000-0000D7000000}"/>
    <cellStyle name="20% - Accent1 3 3 4" xfId="1583" xr:uid="{00000000-0005-0000-0000-0000D8000000}"/>
    <cellStyle name="20% - Accent1 3 3 5" xfId="2861" xr:uid="{00000000-0005-0000-0000-0000D9000000}"/>
    <cellStyle name="20% - Accent1 3 3 6" xfId="4148" xr:uid="{00000000-0005-0000-0000-0000DA000000}"/>
    <cellStyle name="20% - Accent1 3 4" xfId="504" xr:uid="{00000000-0005-0000-0000-0000DB000000}"/>
    <cellStyle name="20% - Accent1 3 4 2" xfId="1796" xr:uid="{00000000-0005-0000-0000-0000DC000000}"/>
    <cellStyle name="20% - Accent1 3 4 3" xfId="3074" xr:uid="{00000000-0005-0000-0000-0000DD000000}"/>
    <cellStyle name="20% - Accent1 3 4 4" xfId="4361" xr:uid="{00000000-0005-0000-0000-0000DE000000}"/>
    <cellStyle name="20% - Accent1 3 5" xfId="930" xr:uid="{00000000-0005-0000-0000-0000DF000000}"/>
    <cellStyle name="20% - Accent1 3 5 2" xfId="2222" xr:uid="{00000000-0005-0000-0000-0000E0000000}"/>
    <cellStyle name="20% - Accent1 3 5 3" xfId="3500" xr:uid="{00000000-0005-0000-0000-0000E1000000}"/>
    <cellStyle name="20% - Accent1 3 5 4" xfId="4787" xr:uid="{00000000-0005-0000-0000-0000E2000000}"/>
    <cellStyle name="20% - Accent1 3 6" xfId="1370" xr:uid="{00000000-0005-0000-0000-0000E3000000}"/>
    <cellStyle name="20% - Accent1 3 7" xfId="2648" xr:uid="{00000000-0005-0000-0000-0000E4000000}"/>
    <cellStyle name="20% - Accent1 3 8" xfId="3935" xr:uid="{00000000-0005-0000-0000-0000E5000000}"/>
    <cellStyle name="20% - Accent1 3 9" xfId="5211" xr:uid="{00000000-0005-0000-0000-0000E6000000}"/>
    <cellStyle name="20% - Accent1 4" xfId="90" xr:uid="{00000000-0005-0000-0000-0000E7000000}"/>
    <cellStyle name="20% - Accent1 4 2" xfId="293" xr:uid="{00000000-0005-0000-0000-0000E8000000}"/>
    <cellStyle name="20% - Accent1 4 2 2" xfId="719" xr:uid="{00000000-0005-0000-0000-0000E9000000}"/>
    <cellStyle name="20% - Accent1 4 2 2 2" xfId="2011" xr:uid="{00000000-0005-0000-0000-0000EA000000}"/>
    <cellStyle name="20% - Accent1 4 2 2 3" xfId="3289" xr:uid="{00000000-0005-0000-0000-0000EB000000}"/>
    <cellStyle name="20% - Accent1 4 2 2 4" xfId="4576" xr:uid="{00000000-0005-0000-0000-0000EC000000}"/>
    <cellStyle name="20% - Accent1 4 2 3" xfId="1145" xr:uid="{00000000-0005-0000-0000-0000ED000000}"/>
    <cellStyle name="20% - Accent1 4 2 3 2" xfId="2437" xr:uid="{00000000-0005-0000-0000-0000EE000000}"/>
    <cellStyle name="20% - Accent1 4 2 3 3" xfId="3715" xr:uid="{00000000-0005-0000-0000-0000EF000000}"/>
    <cellStyle name="20% - Accent1 4 2 3 4" xfId="5002" xr:uid="{00000000-0005-0000-0000-0000F0000000}"/>
    <cellStyle name="20% - Accent1 4 2 4" xfId="1585" xr:uid="{00000000-0005-0000-0000-0000F1000000}"/>
    <cellStyle name="20% - Accent1 4 2 5" xfId="2863" xr:uid="{00000000-0005-0000-0000-0000F2000000}"/>
    <cellStyle name="20% - Accent1 4 2 6" xfId="4150" xr:uid="{00000000-0005-0000-0000-0000F3000000}"/>
    <cellStyle name="20% - Accent1 4 3" xfId="506" xr:uid="{00000000-0005-0000-0000-0000F4000000}"/>
    <cellStyle name="20% - Accent1 4 3 2" xfId="1798" xr:uid="{00000000-0005-0000-0000-0000F5000000}"/>
    <cellStyle name="20% - Accent1 4 3 3" xfId="3076" xr:uid="{00000000-0005-0000-0000-0000F6000000}"/>
    <cellStyle name="20% - Accent1 4 3 4" xfId="4363" xr:uid="{00000000-0005-0000-0000-0000F7000000}"/>
    <cellStyle name="20% - Accent1 4 4" xfId="932" xr:uid="{00000000-0005-0000-0000-0000F8000000}"/>
    <cellStyle name="20% - Accent1 4 4 2" xfId="2224" xr:uid="{00000000-0005-0000-0000-0000F9000000}"/>
    <cellStyle name="20% - Accent1 4 4 3" xfId="3502" xr:uid="{00000000-0005-0000-0000-0000FA000000}"/>
    <cellStyle name="20% - Accent1 4 4 4" xfId="4789" xr:uid="{00000000-0005-0000-0000-0000FB000000}"/>
    <cellStyle name="20% - Accent1 4 5" xfId="1372" xr:uid="{00000000-0005-0000-0000-0000FC000000}"/>
    <cellStyle name="20% - Accent1 4 6" xfId="2650" xr:uid="{00000000-0005-0000-0000-0000FD000000}"/>
    <cellStyle name="20% - Accent1 4 7" xfId="3937" xr:uid="{00000000-0005-0000-0000-0000FE000000}"/>
    <cellStyle name="20% - Accent1 4 8" xfId="5213" xr:uid="{00000000-0005-0000-0000-0000FF000000}"/>
    <cellStyle name="20% - Accent1 5" xfId="91" xr:uid="{00000000-0005-0000-0000-000000010000}"/>
    <cellStyle name="20% - Accent1 5 2" xfId="294" xr:uid="{00000000-0005-0000-0000-000001010000}"/>
    <cellStyle name="20% - Accent1 5 2 2" xfId="720" xr:uid="{00000000-0005-0000-0000-000002010000}"/>
    <cellStyle name="20% - Accent1 5 2 2 2" xfId="2012" xr:uid="{00000000-0005-0000-0000-000003010000}"/>
    <cellStyle name="20% - Accent1 5 2 2 3" xfId="3290" xr:uid="{00000000-0005-0000-0000-000004010000}"/>
    <cellStyle name="20% - Accent1 5 2 2 4" xfId="4577" xr:uid="{00000000-0005-0000-0000-000005010000}"/>
    <cellStyle name="20% - Accent1 5 2 3" xfId="1146" xr:uid="{00000000-0005-0000-0000-000006010000}"/>
    <cellStyle name="20% - Accent1 5 2 3 2" xfId="2438" xr:uid="{00000000-0005-0000-0000-000007010000}"/>
    <cellStyle name="20% - Accent1 5 2 3 3" xfId="3716" xr:uid="{00000000-0005-0000-0000-000008010000}"/>
    <cellStyle name="20% - Accent1 5 2 3 4" xfId="5003" xr:uid="{00000000-0005-0000-0000-000009010000}"/>
    <cellStyle name="20% - Accent1 5 2 4" xfId="1586" xr:uid="{00000000-0005-0000-0000-00000A010000}"/>
    <cellStyle name="20% - Accent1 5 2 5" xfId="2864" xr:uid="{00000000-0005-0000-0000-00000B010000}"/>
    <cellStyle name="20% - Accent1 5 2 6" xfId="4151" xr:uid="{00000000-0005-0000-0000-00000C010000}"/>
    <cellStyle name="20% - Accent1 5 3" xfId="507" xr:uid="{00000000-0005-0000-0000-00000D010000}"/>
    <cellStyle name="20% - Accent1 5 3 2" xfId="1799" xr:uid="{00000000-0005-0000-0000-00000E010000}"/>
    <cellStyle name="20% - Accent1 5 3 3" xfId="3077" xr:uid="{00000000-0005-0000-0000-00000F010000}"/>
    <cellStyle name="20% - Accent1 5 3 4" xfId="4364" xr:uid="{00000000-0005-0000-0000-000010010000}"/>
    <cellStyle name="20% - Accent1 5 4" xfId="933" xr:uid="{00000000-0005-0000-0000-000011010000}"/>
    <cellStyle name="20% - Accent1 5 4 2" xfId="2225" xr:uid="{00000000-0005-0000-0000-000012010000}"/>
    <cellStyle name="20% - Accent1 5 4 3" xfId="3503" xr:uid="{00000000-0005-0000-0000-000013010000}"/>
    <cellStyle name="20% - Accent1 5 4 4" xfId="4790" xr:uid="{00000000-0005-0000-0000-000014010000}"/>
    <cellStyle name="20% - Accent1 5 5" xfId="1373" xr:uid="{00000000-0005-0000-0000-000015010000}"/>
    <cellStyle name="20% - Accent1 5 6" xfId="2651" xr:uid="{00000000-0005-0000-0000-000016010000}"/>
    <cellStyle name="20% - Accent1 5 7" xfId="3938" xr:uid="{00000000-0005-0000-0000-000017010000}"/>
    <cellStyle name="20% - Accent1 6" xfId="92" xr:uid="{00000000-0005-0000-0000-000018010000}"/>
    <cellStyle name="20% - Accent1 6 2" xfId="295" xr:uid="{00000000-0005-0000-0000-000019010000}"/>
    <cellStyle name="20% - Accent1 6 2 2" xfId="721" xr:uid="{00000000-0005-0000-0000-00001A010000}"/>
    <cellStyle name="20% - Accent1 6 2 2 2" xfId="2013" xr:uid="{00000000-0005-0000-0000-00001B010000}"/>
    <cellStyle name="20% - Accent1 6 2 2 3" xfId="3291" xr:uid="{00000000-0005-0000-0000-00001C010000}"/>
    <cellStyle name="20% - Accent1 6 2 2 4" xfId="4578" xr:uid="{00000000-0005-0000-0000-00001D010000}"/>
    <cellStyle name="20% - Accent1 6 2 3" xfId="1147" xr:uid="{00000000-0005-0000-0000-00001E010000}"/>
    <cellStyle name="20% - Accent1 6 2 3 2" xfId="2439" xr:uid="{00000000-0005-0000-0000-00001F010000}"/>
    <cellStyle name="20% - Accent1 6 2 3 3" xfId="3717" xr:uid="{00000000-0005-0000-0000-000020010000}"/>
    <cellStyle name="20% - Accent1 6 2 3 4" xfId="5004" xr:uid="{00000000-0005-0000-0000-000021010000}"/>
    <cellStyle name="20% - Accent1 6 2 4" xfId="1587" xr:uid="{00000000-0005-0000-0000-000022010000}"/>
    <cellStyle name="20% - Accent1 6 2 5" xfId="2865" xr:uid="{00000000-0005-0000-0000-000023010000}"/>
    <cellStyle name="20% - Accent1 6 2 6" xfId="4152" xr:uid="{00000000-0005-0000-0000-000024010000}"/>
    <cellStyle name="20% - Accent1 6 3" xfId="508" xr:uid="{00000000-0005-0000-0000-000025010000}"/>
    <cellStyle name="20% - Accent1 6 3 2" xfId="1800" xr:uid="{00000000-0005-0000-0000-000026010000}"/>
    <cellStyle name="20% - Accent1 6 3 3" xfId="3078" xr:uid="{00000000-0005-0000-0000-000027010000}"/>
    <cellStyle name="20% - Accent1 6 3 4" xfId="4365" xr:uid="{00000000-0005-0000-0000-000028010000}"/>
    <cellStyle name="20% - Accent1 6 4" xfId="934" xr:uid="{00000000-0005-0000-0000-000029010000}"/>
    <cellStyle name="20% - Accent1 6 4 2" xfId="2226" xr:uid="{00000000-0005-0000-0000-00002A010000}"/>
    <cellStyle name="20% - Accent1 6 4 3" xfId="3504" xr:uid="{00000000-0005-0000-0000-00002B010000}"/>
    <cellStyle name="20% - Accent1 6 4 4" xfId="4791" xr:uid="{00000000-0005-0000-0000-00002C010000}"/>
    <cellStyle name="20% - Accent1 6 5" xfId="1374" xr:uid="{00000000-0005-0000-0000-00002D010000}"/>
    <cellStyle name="20% - Accent1 6 6" xfId="2652" xr:uid="{00000000-0005-0000-0000-00002E010000}"/>
    <cellStyle name="20% - Accent1 6 7" xfId="3939" xr:uid="{00000000-0005-0000-0000-00002F010000}"/>
    <cellStyle name="20% - Accent1 7" xfId="254" xr:uid="{00000000-0005-0000-0000-000030010000}"/>
    <cellStyle name="20% - Accent1 7 2" xfId="467" xr:uid="{00000000-0005-0000-0000-000031010000}"/>
    <cellStyle name="20% - Accent1 7 2 2" xfId="892" xr:uid="{00000000-0005-0000-0000-000032010000}"/>
    <cellStyle name="20% - Accent1 7 2 2 2" xfId="2184" xr:uid="{00000000-0005-0000-0000-000033010000}"/>
    <cellStyle name="20% - Accent1 7 2 2 3" xfId="3462" xr:uid="{00000000-0005-0000-0000-000034010000}"/>
    <cellStyle name="20% - Accent1 7 2 2 4" xfId="4749" xr:uid="{00000000-0005-0000-0000-000035010000}"/>
    <cellStyle name="20% - Accent1 7 2 3" xfId="1318" xr:uid="{00000000-0005-0000-0000-000036010000}"/>
    <cellStyle name="20% - Accent1 7 2 3 2" xfId="2610" xr:uid="{00000000-0005-0000-0000-000037010000}"/>
    <cellStyle name="20% - Accent1 7 2 3 3" xfId="3888" xr:uid="{00000000-0005-0000-0000-000038010000}"/>
    <cellStyle name="20% - Accent1 7 2 3 4" xfId="5175" xr:uid="{00000000-0005-0000-0000-000039010000}"/>
    <cellStyle name="20% - Accent1 7 2 4" xfId="1758" xr:uid="{00000000-0005-0000-0000-00003A010000}"/>
    <cellStyle name="20% - Accent1 7 2 5" xfId="3036" xr:uid="{00000000-0005-0000-0000-00003B010000}"/>
    <cellStyle name="20% - Accent1 7 2 6" xfId="4323" xr:uid="{00000000-0005-0000-0000-00003C010000}"/>
    <cellStyle name="20% - Accent1 7 3" xfId="679" xr:uid="{00000000-0005-0000-0000-00003D010000}"/>
    <cellStyle name="20% - Accent1 7 3 2" xfId="1971" xr:uid="{00000000-0005-0000-0000-00003E010000}"/>
    <cellStyle name="20% - Accent1 7 3 3" xfId="3249" xr:uid="{00000000-0005-0000-0000-00003F010000}"/>
    <cellStyle name="20% - Accent1 7 3 4" xfId="4536" xr:uid="{00000000-0005-0000-0000-000040010000}"/>
    <cellStyle name="20% - Accent1 7 4" xfId="1105" xr:uid="{00000000-0005-0000-0000-000041010000}"/>
    <cellStyle name="20% - Accent1 7 4 2" xfId="2397" xr:uid="{00000000-0005-0000-0000-000042010000}"/>
    <cellStyle name="20% - Accent1 7 4 3" xfId="3675" xr:uid="{00000000-0005-0000-0000-000043010000}"/>
    <cellStyle name="20% - Accent1 7 4 4" xfId="4962" xr:uid="{00000000-0005-0000-0000-000044010000}"/>
    <cellStyle name="20% - Accent1 7 5" xfId="1545" xr:uid="{00000000-0005-0000-0000-000045010000}"/>
    <cellStyle name="20% - Accent1 7 6" xfId="2823" xr:uid="{00000000-0005-0000-0000-000046010000}"/>
    <cellStyle name="20% - Accent1 7 7" xfId="4110" xr:uid="{00000000-0005-0000-0000-000047010000}"/>
    <cellStyle name="20% - Accent1 8" xfId="284" xr:uid="{00000000-0005-0000-0000-000048010000}"/>
    <cellStyle name="20% - Accent1 8 2" xfId="710" xr:uid="{00000000-0005-0000-0000-000049010000}"/>
    <cellStyle name="20% - Accent1 8 2 2" xfId="2002" xr:uid="{00000000-0005-0000-0000-00004A010000}"/>
    <cellStyle name="20% - Accent1 8 2 3" xfId="3280" xr:uid="{00000000-0005-0000-0000-00004B010000}"/>
    <cellStyle name="20% - Accent1 8 2 4" xfId="4567" xr:uid="{00000000-0005-0000-0000-00004C010000}"/>
    <cellStyle name="20% - Accent1 8 3" xfId="1136" xr:uid="{00000000-0005-0000-0000-00004D010000}"/>
    <cellStyle name="20% - Accent1 8 3 2" xfId="2428" xr:uid="{00000000-0005-0000-0000-00004E010000}"/>
    <cellStyle name="20% - Accent1 8 3 3" xfId="3706" xr:uid="{00000000-0005-0000-0000-00004F010000}"/>
    <cellStyle name="20% - Accent1 8 3 4" xfId="4993" xr:uid="{00000000-0005-0000-0000-000050010000}"/>
    <cellStyle name="20% - Accent1 8 4" xfId="1576" xr:uid="{00000000-0005-0000-0000-000051010000}"/>
    <cellStyle name="20% - Accent1 8 5" xfId="2854" xr:uid="{00000000-0005-0000-0000-000052010000}"/>
    <cellStyle name="20% - Accent1 8 6" xfId="4141" xr:uid="{00000000-0005-0000-0000-000053010000}"/>
    <cellStyle name="20% - Accent1 9" xfId="497" xr:uid="{00000000-0005-0000-0000-000054010000}"/>
    <cellStyle name="20% - Accent1 9 2" xfId="1789" xr:uid="{00000000-0005-0000-0000-000055010000}"/>
    <cellStyle name="20% - Accent1 9 3" xfId="3067" xr:uid="{00000000-0005-0000-0000-000056010000}"/>
    <cellStyle name="20% - Accent1 9 4" xfId="4354" xr:uid="{00000000-0005-0000-0000-000057010000}"/>
    <cellStyle name="20% - Accent2" xfId="62" builtinId="34" customBuiltin="1"/>
    <cellStyle name="20% - Accent2 10" xfId="935" xr:uid="{00000000-0005-0000-0000-000059010000}"/>
    <cellStyle name="20% - Accent2 10 2" xfId="2227" xr:uid="{00000000-0005-0000-0000-00005A010000}"/>
    <cellStyle name="20% - Accent2 10 3" xfId="3505" xr:uid="{00000000-0005-0000-0000-00005B010000}"/>
    <cellStyle name="20% - Accent2 10 4" xfId="4792" xr:uid="{00000000-0005-0000-0000-00005C010000}"/>
    <cellStyle name="20% - Accent2 11" xfId="1375" xr:uid="{00000000-0005-0000-0000-00005D010000}"/>
    <cellStyle name="20% - Accent2 12" xfId="2653" xr:uid="{00000000-0005-0000-0000-00005E010000}"/>
    <cellStyle name="20% - Accent2 13" xfId="3940" xr:uid="{00000000-0005-0000-0000-00005F010000}"/>
    <cellStyle name="20% - Accent2 14" xfId="5214" xr:uid="{00000000-0005-0000-0000-000060010000}"/>
    <cellStyle name="20% - Accent2 2" xfId="11" xr:uid="{00000000-0005-0000-0000-000061010000}"/>
    <cellStyle name="20% - Accent2 2 10" xfId="1376" xr:uid="{00000000-0005-0000-0000-000062010000}"/>
    <cellStyle name="20% - Accent2 2 11" xfId="2654" xr:uid="{00000000-0005-0000-0000-000063010000}"/>
    <cellStyle name="20% - Accent2 2 12" xfId="3941" xr:uid="{00000000-0005-0000-0000-000064010000}"/>
    <cellStyle name="20% - Accent2 2 13" xfId="5215" xr:uid="{00000000-0005-0000-0000-000065010000}"/>
    <cellStyle name="20% - Accent2 2 2" xfId="93" xr:uid="{00000000-0005-0000-0000-000066010000}"/>
    <cellStyle name="20% - Accent2 2 2 2" xfId="94" xr:uid="{00000000-0005-0000-0000-000067010000}"/>
    <cellStyle name="20% - Accent2 2 2 2 2" xfId="299" xr:uid="{00000000-0005-0000-0000-000068010000}"/>
    <cellStyle name="20% - Accent2 2 2 2 2 2" xfId="725" xr:uid="{00000000-0005-0000-0000-000069010000}"/>
    <cellStyle name="20% - Accent2 2 2 2 2 2 2" xfId="2017" xr:uid="{00000000-0005-0000-0000-00006A010000}"/>
    <cellStyle name="20% - Accent2 2 2 2 2 2 3" xfId="3295" xr:uid="{00000000-0005-0000-0000-00006B010000}"/>
    <cellStyle name="20% - Accent2 2 2 2 2 2 4" xfId="4582" xr:uid="{00000000-0005-0000-0000-00006C010000}"/>
    <cellStyle name="20% - Accent2 2 2 2 2 3" xfId="1151" xr:uid="{00000000-0005-0000-0000-00006D010000}"/>
    <cellStyle name="20% - Accent2 2 2 2 2 3 2" xfId="2443" xr:uid="{00000000-0005-0000-0000-00006E010000}"/>
    <cellStyle name="20% - Accent2 2 2 2 2 3 3" xfId="3721" xr:uid="{00000000-0005-0000-0000-00006F010000}"/>
    <cellStyle name="20% - Accent2 2 2 2 2 3 4" xfId="5008" xr:uid="{00000000-0005-0000-0000-000070010000}"/>
    <cellStyle name="20% - Accent2 2 2 2 2 4" xfId="1591" xr:uid="{00000000-0005-0000-0000-000071010000}"/>
    <cellStyle name="20% - Accent2 2 2 2 2 5" xfId="2869" xr:uid="{00000000-0005-0000-0000-000072010000}"/>
    <cellStyle name="20% - Accent2 2 2 2 2 6" xfId="4156" xr:uid="{00000000-0005-0000-0000-000073010000}"/>
    <cellStyle name="20% - Accent2 2 2 2 3" xfId="512" xr:uid="{00000000-0005-0000-0000-000074010000}"/>
    <cellStyle name="20% - Accent2 2 2 2 3 2" xfId="1804" xr:uid="{00000000-0005-0000-0000-000075010000}"/>
    <cellStyle name="20% - Accent2 2 2 2 3 3" xfId="3082" xr:uid="{00000000-0005-0000-0000-000076010000}"/>
    <cellStyle name="20% - Accent2 2 2 2 3 4" xfId="4369" xr:uid="{00000000-0005-0000-0000-000077010000}"/>
    <cellStyle name="20% - Accent2 2 2 2 4" xfId="938" xr:uid="{00000000-0005-0000-0000-000078010000}"/>
    <cellStyle name="20% - Accent2 2 2 2 4 2" xfId="2230" xr:uid="{00000000-0005-0000-0000-000079010000}"/>
    <cellStyle name="20% - Accent2 2 2 2 4 3" xfId="3508" xr:uid="{00000000-0005-0000-0000-00007A010000}"/>
    <cellStyle name="20% - Accent2 2 2 2 4 4" xfId="4795" xr:uid="{00000000-0005-0000-0000-00007B010000}"/>
    <cellStyle name="20% - Accent2 2 2 2 5" xfId="1378" xr:uid="{00000000-0005-0000-0000-00007C010000}"/>
    <cellStyle name="20% - Accent2 2 2 2 6" xfId="2656" xr:uid="{00000000-0005-0000-0000-00007D010000}"/>
    <cellStyle name="20% - Accent2 2 2 2 7" xfId="3943" xr:uid="{00000000-0005-0000-0000-00007E010000}"/>
    <cellStyle name="20% - Accent2 2 2 2 8" xfId="5217" xr:uid="{00000000-0005-0000-0000-00007F010000}"/>
    <cellStyle name="20% - Accent2 2 2 3" xfId="298" xr:uid="{00000000-0005-0000-0000-000080010000}"/>
    <cellStyle name="20% - Accent2 2 2 3 2" xfId="724" xr:uid="{00000000-0005-0000-0000-000081010000}"/>
    <cellStyle name="20% - Accent2 2 2 3 2 2" xfId="2016" xr:uid="{00000000-0005-0000-0000-000082010000}"/>
    <cellStyle name="20% - Accent2 2 2 3 2 3" xfId="3294" xr:uid="{00000000-0005-0000-0000-000083010000}"/>
    <cellStyle name="20% - Accent2 2 2 3 2 4" xfId="4581" xr:uid="{00000000-0005-0000-0000-000084010000}"/>
    <cellStyle name="20% - Accent2 2 2 3 3" xfId="1150" xr:uid="{00000000-0005-0000-0000-000085010000}"/>
    <cellStyle name="20% - Accent2 2 2 3 3 2" xfId="2442" xr:uid="{00000000-0005-0000-0000-000086010000}"/>
    <cellStyle name="20% - Accent2 2 2 3 3 3" xfId="3720" xr:uid="{00000000-0005-0000-0000-000087010000}"/>
    <cellStyle name="20% - Accent2 2 2 3 3 4" xfId="5007" xr:uid="{00000000-0005-0000-0000-000088010000}"/>
    <cellStyle name="20% - Accent2 2 2 3 4" xfId="1590" xr:uid="{00000000-0005-0000-0000-000089010000}"/>
    <cellStyle name="20% - Accent2 2 2 3 5" xfId="2868" xr:uid="{00000000-0005-0000-0000-00008A010000}"/>
    <cellStyle name="20% - Accent2 2 2 3 6" xfId="4155" xr:uid="{00000000-0005-0000-0000-00008B010000}"/>
    <cellStyle name="20% - Accent2 2 2 4" xfId="511" xr:uid="{00000000-0005-0000-0000-00008C010000}"/>
    <cellStyle name="20% - Accent2 2 2 4 2" xfId="1803" xr:uid="{00000000-0005-0000-0000-00008D010000}"/>
    <cellStyle name="20% - Accent2 2 2 4 3" xfId="3081" xr:uid="{00000000-0005-0000-0000-00008E010000}"/>
    <cellStyle name="20% - Accent2 2 2 4 4" xfId="4368" xr:uid="{00000000-0005-0000-0000-00008F010000}"/>
    <cellStyle name="20% - Accent2 2 2 5" xfId="937" xr:uid="{00000000-0005-0000-0000-000090010000}"/>
    <cellStyle name="20% - Accent2 2 2 5 2" xfId="2229" xr:uid="{00000000-0005-0000-0000-000091010000}"/>
    <cellStyle name="20% - Accent2 2 2 5 3" xfId="3507" xr:uid="{00000000-0005-0000-0000-000092010000}"/>
    <cellStyle name="20% - Accent2 2 2 5 4" xfId="4794" xr:uid="{00000000-0005-0000-0000-000093010000}"/>
    <cellStyle name="20% - Accent2 2 2 6" xfId="1377" xr:uid="{00000000-0005-0000-0000-000094010000}"/>
    <cellStyle name="20% - Accent2 2 2 7" xfId="2655" xr:uid="{00000000-0005-0000-0000-000095010000}"/>
    <cellStyle name="20% - Accent2 2 2 8" xfId="3942" xr:uid="{00000000-0005-0000-0000-000096010000}"/>
    <cellStyle name="20% - Accent2 2 2 9" xfId="5216" xr:uid="{00000000-0005-0000-0000-000097010000}"/>
    <cellStyle name="20% - Accent2 2 3" xfId="95" xr:uid="{00000000-0005-0000-0000-000098010000}"/>
    <cellStyle name="20% - Accent2 2 3 2" xfId="300" xr:uid="{00000000-0005-0000-0000-000099010000}"/>
    <cellStyle name="20% - Accent2 2 3 2 2" xfId="726" xr:uid="{00000000-0005-0000-0000-00009A010000}"/>
    <cellStyle name="20% - Accent2 2 3 2 2 2" xfId="2018" xr:uid="{00000000-0005-0000-0000-00009B010000}"/>
    <cellStyle name="20% - Accent2 2 3 2 2 3" xfId="3296" xr:uid="{00000000-0005-0000-0000-00009C010000}"/>
    <cellStyle name="20% - Accent2 2 3 2 2 4" xfId="4583" xr:uid="{00000000-0005-0000-0000-00009D010000}"/>
    <cellStyle name="20% - Accent2 2 3 2 3" xfId="1152" xr:uid="{00000000-0005-0000-0000-00009E010000}"/>
    <cellStyle name="20% - Accent2 2 3 2 3 2" xfId="2444" xr:uid="{00000000-0005-0000-0000-00009F010000}"/>
    <cellStyle name="20% - Accent2 2 3 2 3 3" xfId="3722" xr:uid="{00000000-0005-0000-0000-0000A0010000}"/>
    <cellStyle name="20% - Accent2 2 3 2 3 4" xfId="5009" xr:uid="{00000000-0005-0000-0000-0000A1010000}"/>
    <cellStyle name="20% - Accent2 2 3 2 4" xfId="1592" xr:uid="{00000000-0005-0000-0000-0000A2010000}"/>
    <cellStyle name="20% - Accent2 2 3 2 5" xfId="2870" xr:uid="{00000000-0005-0000-0000-0000A3010000}"/>
    <cellStyle name="20% - Accent2 2 3 2 6" xfId="4157" xr:uid="{00000000-0005-0000-0000-0000A4010000}"/>
    <cellStyle name="20% - Accent2 2 3 3" xfId="513" xr:uid="{00000000-0005-0000-0000-0000A5010000}"/>
    <cellStyle name="20% - Accent2 2 3 3 2" xfId="1805" xr:uid="{00000000-0005-0000-0000-0000A6010000}"/>
    <cellStyle name="20% - Accent2 2 3 3 3" xfId="3083" xr:uid="{00000000-0005-0000-0000-0000A7010000}"/>
    <cellStyle name="20% - Accent2 2 3 3 4" xfId="4370" xr:uid="{00000000-0005-0000-0000-0000A8010000}"/>
    <cellStyle name="20% - Accent2 2 3 4" xfId="939" xr:uid="{00000000-0005-0000-0000-0000A9010000}"/>
    <cellStyle name="20% - Accent2 2 3 4 2" xfId="2231" xr:uid="{00000000-0005-0000-0000-0000AA010000}"/>
    <cellStyle name="20% - Accent2 2 3 4 3" xfId="3509" xr:uid="{00000000-0005-0000-0000-0000AB010000}"/>
    <cellStyle name="20% - Accent2 2 3 4 4" xfId="4796" xr:uid="{00000000-0005-0000-0000-0000AC010000}"/>
    <cellStyle name="20% - Accent2 2 3 5" xfId="1379" xr:uid="{00000000-0005-0000-0000-0000AD010000}"/>
    <cellStyle name="20% - Accent2 2 3 6" xfId="2657" xr:uid="{00000000-0005-0000-0000-0000AE010000}"/>
    <cellStyle name="20% - Accent2 2 3 7" xfId="3944" xr:uid="{00000000-0005-0000-0000-0000AF010000}"/>
    <cellStyle name="20% - Accent2 2 3 8" xfId="5218" xr:uid="{00000000-0005-0000-0000-0000B0010000}"/>
    <cellStyle name="20% - Accent2 2 4" xfId="96" xr:uid="{00000000-0005-0000-0000-0000B1010000}"/>
    <cellStyle name="20% - Accent2 2 4 2" xfId="301" xr:uid="{00000000-0005-0000-0000-0000B2010000}"/>
    <cellStyle name="20% - Accent2 2 4 2 2" xfId="727" xr:uid="{00000000-0005-0000-0000-0000B3010000}"/>
    <cellStyle name="20% - Accent2 2 4 2 2 2" xfId="2019" xr:uid="{00000000-0005-0000-0000-0000B4010000}"/>
    <cellStyle name="20% - Accent2 2 4 2 2 3" xfId="3297" xr:uid="{00000000-0005-0000-0000-0000B5010000}"/>
    <cellStyle name="20% - Accent2 2 4 2 2 4" xfId="4584" xr:uid="{00000000-0005-0000-0000-0000B6010000}"/>
    <cellStyle name="20% - Accent2 2 4 2 3" xfId="1153" xr:uid="{00000000-0005-0000-0000-0000B7010000}"/>
    <cellStyle name="20% - Accent2 2 4 2 3 2" xfId="2445" xr:uid="{00000000-0005-0000-0000-0000B8010000}"/>
    <cellStyle name="20% - Accent2 2 4 2 3 3" xfId="3723" xr:uid="{00000000-0005-0000-0000-0000B9010000}"/>
    <cellStyle name="20% - Accent2 2 4 2 3 4" xfId="5010" xr:uid="{00000000-0005-0000-0000-0000BA010000}"/>
    <cellStyle name="20% - Accent2 2 4 2 4" xfId="1593" xr:uid="{00000000-0005-0000-0000-0000BB010000}"/>
    <cellStyle name="20% - Accent2 2 4 2 5" xfId="2871" xr:uid="{00000000-0005-0000-0000-0000BC010000}"/>
    <cellStyle name="20% - Accent2 2 4 2 6" xfId="4158" xr:uid="{00000000-0005-0000-0000-0000BD010000}"/>
    <cellStyle name="20% - Accent2 2 4 3" xfId="514" xr:uid="{00000000-0005-0000-0000-0000BE010000}"/>
    <cellStyle name="20% - Accent2 2 4 3 2" xfId="1806" xr:uid="{00000000-0005-0000-0000-0000BF010000}"/>
    <cellStyle name="20% - Accent2 2 4 3 3" xfId="3084" xr:uid="{00000000-0005-0000-0000-0000C0010000}"/>
    <cellStyle name="20% - Accent2 2 4 3 4" xfId="4371" xr:uid="{00000000-0005-0000-0000-0000C1010000}"/>
    <cellStyle name="20% - Accent2 2 4 4" xfId="940" xr:uid="{00000000-0005-0000-0000-0000C2010000}"/>
    <cellStyle name="20% - Accent2 2 4 4 2" xfId="2232" xr:uid="{00000000-0005-0000-0000-0000C3010000}"/>
    <cellStyle name="20% - Accent2 2 4 4 3" xfId="3510" xr:uid="{00000000-0005-0000-0000-0000C4010000}"/>
    <cellStyle name="20% - Accent2 2 4 4 4" xfId="4797" xr:uid="{00000000-0005-0000-0000-0000C5010000}"/>
    <cellStyle name="20% - Accent2 2 4 5" xfId="1380" xr:uid="{00000000-0005-0000-0000-0000C6010000}"/>
    <cellStyle name="20% - Accent2 2 4 6" xfId="2658" xr:uid="{00000000-0005-0000-0000-0000C7010000}"/>
    <cellStyle name="20% - Accent2 2 4 7" xfId="3945" xr:uid="{00000000-0005-0000-0000-0000C8010000}"/>
    <cellStyle name="20% - Accent2 2 5" xfId="97" xr:uid="{00000000-0005-0000-0000-0000C9010000}"/>
    <cellStyle name="20% - Accent2 2 5 2" xfId="302" xr:uid="{00000000-0005-0000-0000-0000CA010000}"/>
    <cellStyle name="20% - Accent2 2 5 2 2" xfId="728" xr:uid="{00000000-0005-0000-0000-0000CB010000}"/>
    <cellStyle name="20% - Accent2 2 5 2 2 2" xfId="2020" xr:uid="{00000000-0005-0000-0000-0000CC010000}"/>
    <cellStyle name="20% - Accent2 2 5 2 2 3" xfId="3298" xr:uid="{00000000-0005-0000-0000-0000CD010000}"/>
    <cellStyle name="20% - Accent2 2 5 2 2 4" xfId="4585" xr:uid="{00000000-0005-0000-0000-0000CE010000}"/>
    <cellStyle name="20% - Accent2 2 5 2 3" xfId="1154" xr:uid="{00000000-0005-0000-0000-0000CF010000}"/>
    <cellStyle name="20% - Accent2 2 5 2 3 2" xfId="2446" xr:uid="{00000000-0005-0000-0000-0000D0010000}"/>
    <cellStyle name="20% - Accent2 2 5 2 3 3" xfId="3724" xr:uid="{00000000-0005-0000-0000-0000D1010000}"/>
    <cellStyle name="20% - Accent2 2 5 2 3 4" xfId="5011" xr:uid="{00000000-0005-0000-0000-0000D2010000}"/>
    <cellStyle name="20% - Accent2 2 5 2 4" xfId="1594" xr:uid="{00000000-0005-0000-0000-0000D3010000}"/>
    <cellStyle name="20% - Accent2 2 5 2 5" xfId="2872" xr:uid="{00000000-0005-0000-0000-0000D4010000}"/>
    <cellStyle name="20% - Accent2 2 5 2 6" xfId="4159" xr:uid="{00000000-0005-0000-0000-0000D5010000}"/>
    <cellStyle name="20% - Accent2 2 5 3" xfId="515" xr:uid="{00000000-0005-0000-0000-0000D6010000}"/>
    <cellStyle name="20% - Accent2 2 5 3 2" xfId="1807" xr:uid="{00000000-0005-0000-0000-0000D7010000}"/>
    <cellStyle name="20% - Accent2 2 5 3 3" xfId="3085" xr:uid="{00000000-0005-0000-0000-0000D8010000}"/>
    <cellStyle name="20% - Accent2 2 5 3 4" xfId="4372" xr:uid="{00000000-0005-0000-0000-0000D9010000}"/>
    <cellStyle name="20% - Accent2 2 5 4" xfId="941" xr:uid="{00000000-0005-0000-0000-0000DA010000}"/>
    <cellStyle name="20% - Accent2 2 5 4 2" xfId="2233" xr:uid="{00000000-0005-0000-0000-0000DB010000}"/>
    <cellStyle name="20% - Accent2 2 5 4 3" xfId="3511" xr:uid="{00000000-0005-0000-0000-0000DC010000}"/>
    <cellStyle name="20% - Accent2 2 5 4 4" xfId="4798" xr:uid="{00000000-0005-0000-0000-0000DD010000}"/>
    <cellStyle name="20% - Accent2 2 5 5" xfId="1381" xr:uid="{00000000-0005-0000-0000-0000DE010000}"/>
    <cellStyle name="20% - Accent2 2 5 6" xfId="2659" xr:uid="{00000000-0005-0000-0000-0000DF010000}"/>
    <cellStyle name="20% - Accent2 2 5 7" xfId="3946" xr:uid="{00000000-0005-0000-0000-0000E0010000}"/>
    <cellStyle name="20% - Accent2 2 6" xfId="271" xr:uid="{00000000-0005-0000-0000-0000E1010000}"/>
    <cellStyle name="20% - Accent2 2 6 2" xfId="484" xr:uid="{00000000-0005-0000-0000-0000E2010000}"/>
    <cellStyle name="20% - Accent2 2 6 2 2" xfId="909" xr:uid="{00000000-0005-0000-0000-0000E3010000}"/>
    <cellStyle name="20% - Accent2 2 6 2 2 2" xfId="2201" xr:uid="{00000000-0005-0000-0000-0000E4010000}"/>
    <cellStyle name="20% - Accent2 2 6 2 2 3" xfId="3479" xr:uid="{00000000-0005-0000-0000-0000E5010000}"/>
    <cellStyle name="20% - Accent2 2 6 2 2 4" xfId="4766" xr:uid="{00000000-0005-0000-0000-0000E6010000}"/>
    <cellStyle name="20% - Accent2 2 6 2 3" xfId="1335" xr:uid="{00000000-0005-0000-0000-0000E7010000}"/>
    <cellStyle name="20% - Accent2 2 6 2 3 2" xfId="2627" xr:uid="{00000000-0005-0000-0000-0000E8010000}"/>
    <cellStyle name="20% - Accent2 2 6 2 3 3" xfId="3905" xr:uid="{00000000-0005-0000-0000-0000E9010000}"/>
    <cellStyle name="20% - Accent2 2 6 2 3 4" xfId="5192" xr:uid="{00000000-0005-0000-0000-0000EA010000}"/>
    <cellStyle name="20% - Accent2 2 6 2 4" xfId="1775" xr:uid="{00000000-0005-0000-0000-0000EB010000}"/>
    <cellStyle name="20% - Accent2 2 6 2 5" xfId="3053" xr:uid="{00000000-0005-0000-0000-0000EC010000}"/>
    <cellStyle name="20% - Accent2 2 6 2 6" xfId="4340" xr:uid="{00000000-0005-0000-0000-0000ED010000}"/>
    <cellStyle name="20% - Accent2 2 6 3" xfId="696" xr:uid="{00000000-0005-0000-0000-0000EE010000}"/>
    <cellStyle name="20% - Accent2 2 6 3 2" xfId="1988" xr:uid="{00000000-0005-0000-0000-0000EF010000}"/>
    <cellStyle name="20% - Accent2 2 6 3 3" xfId="3266" xr:uid="{00000000-0005-0000-0000-0000F0010000}"/>
    <cellStyle name="20% - Accent2 2 6 3 4" xfId="4553" xr:uid="{00000000-0005-0000-0000-0000F1010000}"/>
    <cellStyle name="20% - Accent2 2 6 4" xfId="1122" xr:uid="{00000000-0005-0000-0000-0000F2010000}"/>
    <cellStyle name="20% - Accent2 2 6 4 2" xfId="2414" xr:uid="{00000000-0005-0000-0000-0000F3010000}"/>
    <cellStyle name="20% - Accent2 2 6 4 3" xfId="3692" xr:uid="{00000000-0005-0000-0000-0000F4010000}"/>
    <cellStyle name="20% - Accent2 2 6 4 4" xfId="4979" xr:uid="{00000000-0005-0000-0000-0000F5010000}"/>
    <cellStyle name="20% - Accent2 2 6 5" xfId="1562" xr:uid="{00000000-0005-0000-0000-0000F6010000}"/>
    <cellStyle name="20% - Accent2 2 6 6" xfId="2840" xr:uid="{00000000-0005-0000-0000-0000F7010000}"/>
    <cellStyle name="20% - Accent2 2 6 7" xfId="4127" xr:uid="{00000000-0005-0000-0000-0000F8010000}"/>
    <cellStyle name="20% - Accent2 2 7" xfId="297" xr:uid="{00000000-0005-0000-0000-0000F9010000}"/>
    <cellStyle name="20% - Accent2 2 7 2" xfId="723" xr:uid="{00000000-0005-0000-0000-0000FA010000}"/>
    <cellStyle name="20% - Accent2 2 7 2 2" xfId="2015" xr:uid="{00000000-0005-0000-0000-0000FB010000}"/>
    <cellStyle name="20% - Accent2 2 7 2 3" xfId="3293" xr:uid="{00000000-0005-0000-0000-0000FC010000}"/>
    <cellStyle name="20% - Accent2 2 7 2 4" xfId="4580" xr:uid="{00000000-0005-0000-0000-0000FD010000}"/>
    <cellStyle name="20% - Accent2 2 7 3" xfId="1149" xr:uid="{00000000-0005-0000-0000-0000FE010000}"/>
    <cellStyle name="20% - Accent2 2 7 3 2" xfId="2441" xr:uid="{00000000-0005-0000-0000-0000FF010000}"/>
    <cellStyle name="20% - Accent2 2 7 3 3" xfId="3719" xr:uid="{00000000-0005-0000-0000-000000020000}"/>
    <cellStyle name="20% - Accent2 2 7 3 4" xfId="5006" xr:uid="{00000000-0005-0000-0000-000001020000}"/>
    <cellStyle name="20% - Accent2 2 7 4" xfId="1589" xr:uid="{00000000-0005-0000-0000-000002020000}"/>
    <cellStyle name="20% - Accent2 2 7 5" xfId="2867" xr:uid="{00000000-0005-0000-0000-000003020000}"/>
    <cellStyle name="20% - Accent2 2 7 6" xfId="4154" xr:uid="{00000000-0005-0000-0000-000004020000}"/>
    <cellStyle name="20% - Accent2 2 8" xfId="510" xr:uid="{00000000-0005-0000-0000-000005020000}"/>
    <cellStyle name="20% - Accent2 2 8 2" xfId="1802" xr:uid="{00000000-0005-0000-0000-000006020000}"/>
    <cellStyle name="20% - Accent2 2 8 3" xfId="3080" xr:uid="{00000000-0005-0000-0000-000007020000}"/>
    <cellStyle name="20% - Accent2 2 8 4" xfId="4367" xr:uid="{00000000-0005-0000-0000-000008020000}"/>
    <cellStyle name="20% - Accent2 2 9" xfId="936" xr:uid="{00000000-0005-0000-0000-000009020000}"/>
    <cellStyle name="20% - Accent2 2 9 2" xfId="2228" xr:uid="{00000000-0005-0000-0000-00000A020000}"/>
    <cellStyle name="20% - Accent2 2 9 3" xfId="3506" xr:uid="{00000000-0005-0000-0000-00000B020000}"/>
    <cellStyle name="20% - Accent2 2 9 4" xfId="4793" xr:uid="{00000000-0005-0000-0000-00000C020000}"/>
    <cellStyle name="20% - Accent2 3" xfId="98" xr:uid="{00000000-0005-0000-0000-00000D020000}"/>
    <cellStyle name="20% - Accent2 3 2" xfId="99" xr:uid="{00000000-0005-0000-0000-00000E020000}"/>
    <cellStyle name="20% - Accent2 3 2 2" xfId="304" xr:uid="{00000000-0005-0000-0000-00000F020000}"/>
    <cellStyle name="20% - Accent2 3 2 2 2" xfId="730" xr:uid="{00000000-0005-0000-0000-000010020000}"/>
    <cellStyle name="20% - Accent2 3 2 2 2 2" xfId="2022" xr:uid="{00000000-0005-0000-0000-000011020000}"/>
    <cellStyle name="20% - Accent2 3 2 2 2 3" xfId="3300" xr:uid="{00000000-0005-0000-0000-000012020000}"/>
    <cellStyle name="20% - Accent2 3 2 2 2 4" xfId="4587" xr:uid="{00000000-0005-0000-0000-000013020000}"/>
    <cellStyle name="20% - Accent2 3 2 2 3" xfId="1156" xr:uid="{00000000-0005-0000-0000-000014020000}"/>
    <cellStyle name="20% - Accent2 3 2 2 3 2" xfId="2448" xr:uid="{00000000-0005-0000-0000-000015020000}"/>
    <cellStyle name="20% - Accent2 3 2 2 3 3" xfId="3726" xr:uid="{00000000-0005-0000-0000-000016020000}"/>
    <cellStyle name="20% - Accent2 3 2 2 3 4" xfId="5013" xr:uid="{00000000-0005-0000-0000-000017020000}"/>
    <cellStyle name="20% - Accent2 3 2 2 4" xfId="1596" xr:uid="{00000000-0005-0000-0000-000018020000}"/>
    <cellStyle name="20% - Accent2 3 2 2 5" xfId="2874" xr:uid="{00000000-0005-0000-0000-000019020000}"/>
    <cellStyle name="20% - Accent2 3 2 2 6" xfId="4161" xr:uid="{00000000-0005-0000-0000-00001A020000}"/>
    <cellStyle name="20% - Accent2 3 2 3" xfId="517" xr:uid="{00000000-0005-0000-0000-00001B020000}"/>
    <cellStyle name="20% - Accent2 3 2 3 2" xfId="1809" xr:uid="{00000000-0005-0000-0000-00001C020000}"/>
    <cellStyle name="20% - Accent2 3 2 3 3" xfId="3087" xr:uid="{00000000-0005-0000-0000-00001D020000}"/>
    <cellStyle name="20% - Accent2 3 2 3 4" xfId="4374" xr:uid="{00000000-0005-0000-0000-00001E020000}"/>
    <cellStyle name="20% - Accent2 3 2 4" xfId="943" xr:uid="{00000000-0005-0000-0000-00001F020000}"/>
    <cellStyle name="20% - Accent2 3 2 4 2" xfId="2235" xr:uid="{00000000-0005-0000-0000-000020020000}"/>
    <cellStyle name="20% - Accent2 3 2 4 3" xfId="3513" xr:uid="{00000000-0005-0000-0000-000021020000}"/>
    <cellStyle name="20% - Accent2 3 2 4 4" xfId="4800" xr:uid="{00000000-0005-0000-0000-000022020000}"/>
    <cellStyle name="20% - Accent2 3 2 5" xfId="1383" xr:uid="{00000000-0005-0000-0000-000023020000}"/>
    <cellStyle name="20% - Accent2 3 2 6" xfId="2661" xr:uid="{00000000-0005-0000-0000-000024020000}"/>
    <cellStyle name="20% - Accent2 3 2 7" xfId="3948" xr:uid="{00000000-0005-0000-0000-000025020000}"/>
    <cellStyle name="20% - Accent2 3 2 8" xfId="5220" xr:uid="{00000000-0005-0000-0000-000026020000}"/>
    <cellStyle name="20% - Accent2 3 3" xfId="303" xr:uid="{00000000-0005-0000-0000-000027020000}"/>
    <cellStyle name="20% - Accent2 3 3 2" xfId="729" xr:uid="{00000000-0005-0000-0000-000028020000}"/>
    <cellStyle name="20% - Accent2 3 3 2 2" xfId="2021" xr:uid="{00000000-0005-0000-0000-000029020000}"/>
    <cellStyle name="20% - Accent2 3 3 2 3" xfId="3299" xr:uid="{00000000-0005-0000-0000-00002A020000}"/>
    <cellStyle name="20% - Accent2 3 3 2 4" xfId="4586" xr:uid="{00000000-0005-0000-0000-00002B020000}"/>
    <cellStyle name="20% - Accent2 3 3 3" xfId="1155" xr:uid="{00000000-0005-0000-0000-00002C020000}"/>
    <cellStyle name="20% - Accent2 3 3 3 2" xfId="2447" xr:uid="{00000000-0005-0000-0000-00002D020000}"/>
    <cellStyle name="20% - Accent2 3 3 3 3" xfId="3725" xr:uid="{00000000-0005-0000-0000-00002E020000}"/>
    <cellStyle name="20% - Accent2 3 3 3 4" xfId="5012" xr:uid="{00000000-0005-0000-0000-00002F020000}"/>
    <cellStyle name="20% - Accent2 3 3 4" xfId="1595" xr:uid="{00000000-0005-0000-0000-000030020000}"/>
    <cellStyle name="20% - Accent2 3 3 5" xfId="2873" xr:uid="{00000000-0005-0000-0000-000031020000}"/>
    <cellStyle name="20% - Accent2 3 3 6" xfId="4160" xr:uid="{00000000-0005-0000-0000-000032020000}"/>
    <cellStyle name="20% - Accent2 3 4" xfId="516" xr:uid="{00000000-0005-0000-0000-000033020000}"/>
    <cellStyle name="20% - Accent2 3 4 2" xfId="1808" xr:uid="{00000000-0005-0000-0000-000034020000}"/>
    <cellStyle name="20% - Accent2 3 4 3" xfId="3086" xr:uid="{00000000-0005-0000-0000-000035020000}"/>
    <cellStyle name="20% - Accent2 3 4 4" xfId="4373" xr:uid="{00000000-0005-0000-0000-000036020000}"/>
    <cellStyle name="20% - Accent2 3 5" xfId="942" xr:uid="{00000000-0005-0000-0000-000037020000}"/>
    <cellStyle name="20% - Accent2 3 5 2" xfId="2234" xr:uid="{00000000-0005-0000-0000-000038020000}"/>
    <cellStyle name="20% - Accent2 3 5 3" xfId="3512" xr:uid="{00000000-0005-0000-0000-000039020000}"/>
    <cellStyle name="20% - Accent2 3 5 4" xfId="4799" xr:uid="{00000000-0005-0000-0000-00003A020000}"/>
    <cellStyle name="20% - Accent2 3 6" xfId="1382" xr:uid="{00000000-0005-0000-0000-00003B020000}"/>
    <cellStyle name="20% - Accent2 3 7" xfId="2660" xr:uid="{00000000-0005-0000-0000-00003C020000}"/>
    <cellStyle name="20% - Accent2 3 8" xfId="3947" xr:uid="{00000000-0005-0000-0000-00003D020000}"/>
    <cellStyle name="20% - Accent2 3 9" xfId="5219" xr:uid="{00000000-0005-0000-0000-00003E020000}"/>
    <cellStyle name="20% - Accent2 4" xfId="100" xr:uid="{00000000-0005-0000-0000-00003F020000}"/>
    <cellStyle name="20% - Accent2 4 2" xfId="305" xr:uid="{00000000-0005-0000-0000-000040020000}"/>
    <cellStyle name="20% - Accent2 4 2 2" xfId="731" xr:uid="{00000000-0005-0000-0000-000041020000}"/>
    <cellStyle name="20% - Accent2 4 2 2 2" xfId="2023" xr:uid="{00000000-0005-0000-0000-000042020000}"/>
    <cellStyle name="20% - Accent2 4 2 2 3" xfId="3301" xr:uid="{00000000-0005-0000-0000-000043020000}"/>
    <cellStyle name="20% - Accent2 4 2 2 4" xfId="4588" xr:uid="{00000000-0005-0000-0000-000044020000}"/>
    <cellStyle name="20% - Accent2 4 2 3" xfId="1157" xr:uid="{00000000-0005-0000-0000-000045020000}"/>
    <cellStyle name="20% - Accent2 4 2 3 2" xfId="2449" xr:uid="{00000000-0005-0000-0000-000046020000}"/>
    <cellStyle name="20% - Accent2 4 2 3 3" xfId="3727" xr:uid="{00000000-0005-0000-0000-000047020000}"/>
    <cellStyle name="20% - Accent2 4 2 3 4" xfId="5014" xr:uid="{00000000-0005-0000-0000-000048020000}"/>
    <cellStyle name="20% - Accent2 4 2 4" xfId="1597" xr:uid="{00000000-0005-0000-0000-000049020000}"/>
    <cellStyle name="20% - Accent2 4 2 5" xfId="2875" xr:uid="{00000000-0005-0000-0000-00004A020000}"/>
    <cellStyle name="20% - Accent2 4 2 6" xfId="4162" xr:uid="{00000000-0005-0000-0000-00004B020000}"/>
    <cellStyle name="20% - Accent2 4 3" xfId="518" xr:uid="{00000000-0005-0000-0000-00004C020000}"/>
    <cellStyle name="20% - Accent2 4 3 2" xfId="1810" xr:uid="{00000000-0005-0000-0000-00004D020000}"/>
    <cellStyle name="20% - Accent2 4 3 3" xfId="3088" xr:uid="{00000000-0005-0000-0000-00004E020000}"/>
    <cellStyle name="20% - Accent2 4 3 4" xfId="4375" xr:uid="{00000000-0005-0000-0000-00004F020000}"/>
    <cellStyle name="20% - Accent2 4 4" xfId="944" xr:uid="{00000000-0005-0000-0000-000050020000}"/>
    <cellStyle name="20% - Accent2 4 4 2" xfId="2236" xr:uid="{00000000-0005-0000-0000-000051020000}"/>
    <cellStyle name="20% - Accent2 4 4 3" xfId="3514" xr:uid="{00000000-0005-0000-0000-000052020000}"/>
    <cellStyle name="20% - Accent2 4 4 4" xfId="4801" xr:uid="{00000000-0005-0000-0000-000053020000}"/>
    <cellStyle name="20% - Accent2 4 5" xfId="1384" xr:uid="{00000000-0005-0000-0000-000054020000}"/>
    <cellStyle name="20% - Accent2 4 6" xfId="2662" xr:uid="{00000000-0005-0000-0000-000055020000}"/>
    <cellStyle name="20% - Accent2 4 7" xfId="3949" xr:uid="{00000000-0005-0000-0000-000056020000}"/>
    <cellStyle name="20% - Accent2 4 8" xfId="5221" xr:uid="{00000000-0005-0000-0000-000057020000}"/>
    <cellStyle name="20% - Accent2 5" xfId="101" xr:uid="{00000000-0005-0000-0000-000058020000}"/>
    <cellStyle name="20% - Accent2 5 2" xfId="306" xr:uid="{00000000-0005-0000-0000-000059020000}"/>
    <cellStyle name="20% - Accent2 5 2 2" xfId="732" xr:uid="{00000000-0005-0000-0000-00005A020000}"/>
    <cellStyle name="20% - Accent2 5 2 2 2" xfId="2024" xr:uid="{00000000-0005-0000-0000-00005B020000}"/>
    <cellStyle name="20% - Accent2 5 2 2 3" xfId="3302" xr:uid="{00000000-0005-0000-0000-00005C020000}"/>
    <cellStyle name="20% - Accent2 5 2 2 4" xfId="4589" xr:uid="{00000000-0005-0000-0000-00005D020000}"/>
    <cellStyle name="20% - Accent2 5 2 3" xfId="1158" xr:uid="{00000000-0005-0000-0000-00005E020000}"/>
    <cellStyle name="20% - Accent2 5 2 3 2" xfId="2450" xr:uid="{00000000-0005-0000-0000-00005F020000}"/>
    <cellStyle name="20% - Accent2 5 2 3 3" xfId="3728" xr:uid="{00000000-0005-0000-0000-000060020000}"/>
    <cellStyle name="20% - Accent2 5 2 3 4" xfId="5015" xr:uid="{00000000-0005-0000-0000-000061020000}"/>
    <cellStyle name="20% - Accent2 5 2 4" xfId="1598" xr:uid="{00000000-0005-0000-0000-000062020000}"/>
    <cellStyle name="20% - Accent2 5 2 5" xfId="2876" xr:uid="{00000000-0005-0000-0000-000063020000}"/>
    <cellStyle name="20% - Accent2 5 2 6" xfId="4163" xr:uid="{00000000-0005-0000-0000-000064020000}"/>
    <cellStyle name="20% - Accent2 5 3" xfId="519" xr:uid="{00000000-0005-0000-0000-000065020000}"/>
    <cellStyle name="20% - Accent2 5 3 2" xfId="1811" xr:uid="{00000000-0005-0000-0000-000066020000}"/>
    <cellStyle name="20% - Accent2 5 3 3" xfId="3089" xr:uid="{00000000-0005-0000-0000-000067020000}"/>
    <cellStyle name="20% - Accent2 5 3 4" xfId="4376" xr:uid="{00000000-0005-0000-0000-000068020000}"/>
    <cellStyle name="20% - Accent2 5 4" xfId="945" xr:uid="{00000000-0005-0000-0000-000069020000}"/>
    <cellStyle name="20% - Accent2 5 4 2" xfId="2237" xr:uid="{00000000-0005-0000-0000-00006A020000}"/>
    <cellStyle name="20% - Accent2 5 4 3" xfId="3515" xr:uid="{00000000-0005-0000-0000-00006B020000}"/>
    <cellStyle name="20% - Accent2 5 4 4" xfId="4802" xr:uid="{00000000-0005-0000-0000-00006C020000}"/>
    <cellStyle name="20% - Accent2 5 5" xfId="1385" xr:uid="{00000000-0005-0000-0000-00006D020000}"/>
    <cellStyle name="20% - Accent2 5 6" xfId="2663" xr:uid="{00000000-0005-0000-0000-00006E020000}"/>
    <cellStyle name="20% - Accent2 5 7" xfId="3950" xr:uid="{00000000-0005-0000-0000-00006F020000}"/>
    <cellStyle name="20% - Accent2 6" xfId="102" xr:uid="{00000000-0005-0000-0000-000070020000}"/>
    <cellStyle name="20% - Accent2 6 2" xfId="307" xr:uid="{00000000-0005-0000-0000-000071020000}"/>
    <cellStyle name="20% - Accent2 6 2 2" xfId="733" xr:uid="{00000000-0005-0000-0000-000072020000}"/>
    <cellStyle name="20% - Accent2 6 2 2 2" xfId="2025" xr:uid="{00000000-0005-0000-0000-000073020000}"/>
    <cellStyle name="20% - Accent2 6 2 2 3" xfId="3303" xr:uid="{00000000-0005-0000-0000-000074020000}"/>
    <cellStyle name="20% - Accent2 6 2 2 4" xfId="4590" xr:uid="{00000000-0005-0000-0000-000075020000}"/>
    <cellStyle name="20% - Accent2 6 2 3" xfId="1159" xr:uid="{00000000-0005-0000-0000-000076020000}"/>
    <cellStyle name="20% - Accent2 6 2 3 2" xfId="2451" xr:uid="{00000000-0005-0000-0000-000077020000}"/>
    <cellStyle name="20% - Accent2 6 2 3 3" xfId="3729" xr:uid="{00000000-0005-0000-0000-000078020000}"/>
    <cellStyle name="20% - Accent2 6 2 3 4" xfId="5016" xr:uid="{00000000-0005-0000-0000-000079020000}"/>
    <cellStyle name="20% - Accent2 6 2 4" xfId="1599" xr:uid="{00000000-0005-0000-0000-00007A020000}"/>
    <cellStyle name="20% - Accent2 6 2 5" xfId="2877" xr:uid="{00000000-0005-0000-0000-00007B020000}"/>
    <cellStyle name="20% - Accent2 6 2 6" xfId="4164" xr:uid="{00000000-0005-0000-0000-00007C020000}"/>
    <cellStyle name="20% - Accent2 6 3" xfId="520" xr:uid="{00000000-0005-0000-0000-00007D020000}"/>
    <cellStyle name="20% - Accent2 6 3 2" xfId="1812" xr:uid="{00000000-0005-0000-0000-00007E020000}"/>
    <cellStyle name="20% - Accent2 6 3 3" xfId="3090" xr:uid="{00000000-0005-0000-0000-00007F020000}"/>
    <cellStyle name="20% - Accent2 6 3 4" xfId="4377" xr:uid="{00000000-0005-0000-0000-000080020000}"/>
    <cellStyle name="20% - Accent2 6 4" xfId="946" xr:uid="{00000000-0005-0000-0000-000081020000}"/>
    <cellStyle name="20% - Accent2 6 4 2" xfId="2238" xr:uid="{00000000-0005-0000-0000-000082020000}"/>
    <cellStyle name="20% - Accent2 6 4 3" xfId="3516" xr:uid="{00000000-0005-0000-0000-000083020000}"/>
    <cellStyle name="20% - Accent2 6 4 4" xfId="4803" xr:uid="{00000000-0005-0000-0000-000084020000}"/>
    <cellStyle name="20% - Accent2 6 5" xfId="1386" xr:uid="{00000000-0005-0000-0000-000085020000}"/>
    <cellStyle name="20% - Accent2 6 6" xfId="2664" xr:uid="{00000000-0005-0000-0000-000086020000}"/>
    <cellStyle name="20% - Accent2 6 7" xfId="3951" xr:uid="{00000000-0005-0000-0000-000087020000}"/>
    <cellStyle name="20% - Accent2 7" xfId="255" xr:uid="{00000000-0005-0000-0000-000088020000}"/>
    <cellStyle name="20% - Accent2 7 2" xfId="468" xr:uid="{00000000-0005-0000-0000-000089020000}"/>
    <cellStyle name="20% - Accent2 7 2 2" xfId="893" xr:uid="{00000000-0005-0000-0000-00008A020000}"/>
    <cellStyle name="20% - Accent2 7 2 2 2" xfId="2185" xr:uid="{00000000-0005-0000-0000-00008B020000}"/>
    <cellStyle name="20% - Accent2 7 2 2 3" xfId="3463" xr:uid="{00000000-0005-0000-0000-00008C020000}"/>
    <cellStyle name="20% - Accent2 7 2 2 4" xfId="4750" xr:uid="{00000000-0005-0000-0000-00008D020000}"/>
    <cellStyle name="20% - Accent2 7 2 3" xfId="1319" xr:uid="{00000000-0005-0000-0000-00008E020000}"/>
    <cellStyle name="20% - Accent2 7 2 3 2" xfId="2611" xr:uid="{00000000-0005-0000-0000-00008F020000}"/>
    <cellStyle name="20% - Accent2 7 2 3 3" xfId="3889" xr:uid="{00000000-0005-0000-0000-000090020000}"/>
    <cellStyle name="20% - Accent2 7 2 3 4" xfId="5176" xr:uid="{00000000-0005-0000-0000-000091020000}"/>
    <cellStyle name="20% - Accent2 7 2 4" xfId="1759" xr:uid="{00000000-0005-0000-0000-000092020000}"/>
    <cellStyle name="20% - Accent2 7 2 5" xfId="3037" xr:uid="{00000000-0005-0000-0000-000093020000}"/>
    <cellStyle name="20% - Accent2 7 2 6" xfId="4324" xr:uid="{00000000-0005-0000-0000-000094020000}"/>
    <cellStyle name="20% - Accent2 7 3" xfId="680" xr:uid="{00000000-0005-0000-0000-000095020000}"/>
    <cellStyle name="20% - Accent2 7 3 2" xfId="1972" xr:uid="{00000000-0005-0000-0000-000096020000}"/>
    <cellStyle name="20% - Accent2 7 3 3" xfId="3250" xr:uid="{00000000-0005-0000-0000-000097020000}"/>
    <cellStyle name="20% - Accent2 7 3 4" xfId="4537" xr:uid="{00000000-0005-0000-0000-000098020000}"/>
    <cellStyle name="20% - Accent2 7 4" xfId="1106" xr:uid="{00000000-0005-0000-0000-000099020000}"/>
    <cellStyle name="20% - Accent2 7 4 2" xfId="2398" xr:uid="{00000000-0005-0000-0000-00009A020000}"/>
    <cellStyle name="20% - Accent2 7 4 3" xfId="3676" xr:uid="{00000000-0005-0000-0000-00009B020000}"/>
    <cellStyle name="20% - Accent2 7 4 4" xfId="4963" xr:uid="{00000000-0005-0000-0000-00009C020000}"/>
    <cellStyle name="20% - Accent2 7 5" xfId="1546" xr:uid="{00000000-0005-0000-0000-00009D020000}"/>
    <cellStyle name="20% - Accent2 7 6" xfId="2824" xr:uid="{00000000-0005-0000-0000-00009E020000}"/>
    <cellStyle name="20% - Accent2 7 7" xfId="4111" xr:uid="{00000000-0005-0000-0000-00009F020000}"/>
    <cellStyle name="20% - Accent2 8" xfId="296" xr:uid="{00000000-0005-0000-0000-0000A0020000}"/>
    <cellStyle name="20% - Accent2 8 2" xfId="722" xr:uid="{00000000-0005-0000-0000-0000A1020000}"/>
    <cellStyle name="20% - Accent2 8 2 2" xfId="2014" xr:uid="{00000000-0005-0000-0000-0000A2020000}"/>
    <cellStyle name="20% - Accent2 8 2 3" xfId="3292" xr:uid="{00000000-0005-0000-0000-0000A3020000}"/>
    <cellStyle name="20% - Accent2 8 2 4" xfId="4579" xr:uid="{00000000-0005-0000-0000-0000A4020000}"/>
    <cellStyle name="20% - Accent2 8 3" xfId="1148" xr:uid="{00000000-0005-0000-0000-0000A5020000}"/>
    <cellStyle name="20% - Accent2 8 3 2" xfId="2440" xr:uid="{00000000-0005-0000-0000-0000A6020000}"/>
    <cellStyle name="20% - Accent2 8 3 3" xfId="3718" xr:uid="{00000000-0005-0000-0000-0000A7020000}"/>
    <cellStyle name="20% - Accent2 8 3 4" xfId="5005" xr:uid="{00000000-0005-0000-0000-0000A8020000}"/>
    <cellStyle name="20% - Accent2 8 4" xfId="1588" xr:uid="{00000000-0005-0000-0000-0000A9020000}"/>
    <cellStyle name="20% - Accent2 8 5" xfId="2866" xr:uid="{00000000-0005-0000-0000-0000AA020000}"/>
    <cellStyle name="20% - Accent2 8 6" xfId="4153" xr:uid="{00000000-0005-0000-0000-0000AB020000}"/>
    <cellStyle name="20% - Accent2 9" xfId="509" xr:uid="{00000000-0005-0000-0000-0000AC020000}"/>
    <cellStyle name="20% - Accent2 9 2" xfId="1801" xr:uid="{00000000-0005-0000-0000-0000AD020000}"/>
    <cellStyle name="20% - Accent2 9 3" xfId="3079" xr:uid="{00000000-0005-0000-0000-0000AE020000}"/>
    <cellStyle name="20% - Accent2 9 4" xfId="4366" xr:uid="{00000000-0005-0000-0000-0000AF020000}"/>
    <cellStyle name="20% - Accent3" xfId="66" builtinId="38" customBuiltin="1"/>
    <cellStyle name="20% - Accent3 10" xfId="947" xr:uid="{00000000-0005-0000-0000-0000B1020000}"/>
    <cellStyle name="20% - Accent3 10 2" xfId="2239" xr:uid="{00000000-0005-0000-0000-0000B2020000}"/>
    <cellStyle name="20% - Accent3 10 3" xfId="3517" xr:uid="{00000000-0005-0000-0000-0000B3020000}"/>
    <cellStyle name="20% - Accent3 10 4" xfId="4804" xr:uid="{00000000-0005-0000-0000-0000B4020000}"/>
    <cellStyle name="20% - Accent3 11" xfId="1387" xr:uid="{00000000-0005-0000-0000-0000B5020000}"/>
    <cellStyle name="20% - Accent3 12" xfId="2665" xr:uid="{00000000-0005-0000-0000-0000B6020000}"/>
    <cellStyle name="20% - Accent3 13" xfId="3952" xr:uid="{00000000-0005-0000-0000-0000B7020000}"/>
    <cellStyle name="20% - Accent3 14" xfId="5222" xr:uid="{00000000-0005-0000-0000-0000B8020000}"/>
    <cellStyle name="20% - Accent3 2" xfId="12" xr:uid="{00000000-0005-0000-0000-0000B9020000}"/>
    <cellStyle name="20% - Accent3 2 10" xfId="1388" xr:uid="{00000000-0005-0000-0000-0000BA020000}"/>
    <cellStyle name="20% - Accent3 2 11" xfId="2666" xr:uid="{00000000-0005-0000-0000-0000BB020000}"/>
    <cellStyle name="20% - Accent3 2 12" xfId="3953" xr:uid="{00000000-0005-0000-0000-0000BC020000}"/>
    <cellStyle name="20% - Accent3 2 13" xfId="5223" xr:uid="{00000000-0005-0000-0000-0000BD020000}"/>
    <cellStyle name="20% - Accent3 2 2" xfId="103" xr:uid="{00000000-0005-0000-0000-0000BE020000}"/>
    <cellStyle name="20% - Accent3 2 2 2" xfId="104" xr:uid="{00000000-0005-0000-0000-0000BF020000}"/>
    <cellStyle name="20% - Accent3 2 2 2 2" xfId="311" xr:uid="{00000000-0005-0000-0000-0000C0020000}"/>
    <cellStyle name="20% - Accent3 2 2 2 2 2" xfId="737" xr:uid="{00000000-0005-0000-0000-0000C1020000}"/>
    <cellStyle name="20% - Accent3 2 2 2 2 2 2" xfId="2029" xr:uid="{00000000-0005-0000-0000-0000C2020000}"/>
    <cellStyle name="20% - Accent3 2 2 2 2 2 3" xfId="3307" xr:uid="{00000000-0005-0000-0000-0000C3020000}"/>
    <cellStyle name="20% - Accent3 2 2 2 2 2 4" xfId="4594" xr:uid="{00000000-0005-0000-0000-0000C4020000}"/>
    <cellStyle name="20% - Accent3 2 2 2 2 3" xfId="1163" xr:uid="{00000000-0005-0000-0000-0000C5020000}"/>
    <cellStyle name="20% - Accent3 2 2 2 2 3 2" xfId="2455" xr:uid="{00000000-0005-0000-0000-0000C6020000}"/>
    <cellStyle name="20% - Accent3 2 2 2 2 3 3" xfId="3733" xr:uid="{00000000-0005-0000-0000-0000C7020000}"/>
    <cellStyle name="20% - Accent3 2 2 2 2 3 4" xfId="5020" xr:uid="{00000000-0005-0000-0000-0000C8020000}"/>
    <cellStyle name="20% - Accent3 2 2 2 2 4" xfId="1603" xr:uid="{00000000-0005-0000-0000-0000C9020000}"/>
    <cellStyle name="20% - Accent3 2 2 2 2 5" xfId="2881" xr:uid="{00000000-0005-0000-0000-0000CA020000}"/>
    <cellStyle name="20% - Accent3 2 2 2 2 6" xfId="4168" xr:uid="{00000000-0005-0000-0000-0000CB020000}"/>
    <cellStyle name="20% - Accent3 2 2 2 3" xfId="524" xr:uid="{00000000-0005-0000-0000-0000CC020000}"/>
    <cellStyle name="20% - Accent3 2 2 2 3 2" xfId="1816" xr:uid="{00000000-0005-0000-0000-0000CD020000}"/>
    <cellStyle name="20% - Accent3 2 2 2 3 3" xfId="3094" xr:uid="{00000000-0005-0000-0000-0000CE020000}"/>
    <cellStyle name="20% - Accent3 2 2 2 3 4" xfId="4381" xr:uid="{00000000-0005-0000-0000-0000CF020000}"/>
    <cellStyle name="20% - Accent3 2 2 2 4" xfId="950" xr:uid="{00000000-0005-0000-0000-0000D0020000}"/>
    <cellStyle name="20% - Accent3 2 2 2 4 2" xfId="2242" xr:uid="{00000000-0005-0000-0000-0000D1020000}"/>
    <cellStyle name="20% - Accent3 2 2 2 4 3" xfId="3520" xr:uid="{00000000-0005-0000-0000-0000D2020000}"/>
    <cellStyle name="20% - Accent3 2 2 2 4 4" xfId="4807" xr:uid="{00000000-0005-0000-0000-0000D3020000}"/>
    <cellStyle name="20% - Accent3 2 2 2 5" xfId="1390" xr:uid="{00000000-0005-0000-0000-0000D4020000}"/>
    <cellStyle name="20% - Accent3 2 2 2 6" xfId="2668" xr:uid="{00000000-0005-0000-0000-0000D5020000}"/>
    <cellStyle name="20% - Accent3 2 2 2 7" xfId="3955" xr:uid="{00000000-0005-0000-0000-0000D6020000}"/>
    <cellStyle name="20% - Accent3 2 2 2 8" xfId="5225" xr:uid="{00000000-0005-0000-0000-0000D7020000}"/>
    <cellStyle name="20% - Accent3 2 2 3" xfId="310" xr:uid="{00000000-0005-0000-0000-0000D8020000}"/>
    <cellStyle name="20% - Accent3 2 2 3 2" xfId="736" xr:uid="{00000000-0005-0000-0000-0000D9020000}"/>
    <cellStyle name="20% - Accent3 2 2 3 2 2" xfId="2028" xr:uid="{00000000-0005-0000-0000-0000DA020000}"/>
    <cellStyle name="20% - Accent3 2 2 3 2 3" xfId="3306" xr:uid="{00000000-0005-0000-0000-0000DB020000}"/>
    <cellStyle name="20% - Accent3 2 2 3 2 4" xfId="4593" xr:uid="{00000000-0005-0000-0000-0000DC020000}"/>
    <cellStyle name="20% - Accent3 2 2 3 3" xfId="1162" xr:uid="{00000000-0005-0000-0000-0000DD020000}"/>
    <cellStyle name="20% - Accent3 2 2 3 3 2" xfId="2454" xr:uid="{00000000-0005-0000-0000-0000DE020000}"/>
    <cellStyle name="20% - Accent3 2 2 3 3 3" xfId="3732" xr:uid="{00000000-0005-0000-0000-0000DF020000}"/>
    <cellStyle name="20% - Accent3 2 2 3 3 4" xfId="5019" xr:uid="{00000000-0005-0000-0000-0000E0020000}"/>
    <cellStyle name="20% - Accent3 2 2 3 4" xfId="1602" xr:uid="{00000000-0005-0000-0000-0000E1020000}"/>
    <cellStyle name="20% - Accent3 2 2 3 5" xfId="2880" xr:uid="{00000000-0005-0000-0000-0000E2020000}"/>
    <cellStyle name="20% - Accent3 2 2 3 6" xfId="4167" xr:uid="{00000000-0005-0000-0000-0000E3020000}"/>
    <cellStyle name="20% - Accent3 2 2 4" xfId="523" xr:uid="{00000000-0005-0000-0000-0000E4020000}"/>
    <cellStyle name="20% - Accent3 2 2 4 2" xfId="1815" xr:uid="{00000000-0005-0000-0000-0000E5020000}"/>
    <cellStyle name="20% - Accent3 2 2 4 3" xfId="3093" xr:uid="{00000000-0005-0000-0000-0000E6020000}"/>
    <cellStyle name="20% - Accent3 2 2 4 4" xfId="4380" xr:uid="{00000000-0005-0000-0000-0000E7020000}"/>
    <cellStyle name="20% - Accent3 2 2 5" xfId="949" xr:uid="{00000000-0005-0000-0000-0000E8020000}"/>
    <cellStyle name="20% - Accent3 2 2 5 2" xfId="2241" xr:uid="{00000000-0005-0000-0000-0000E9020000}"/>
    <cellStyle name="20% - Accent3 2 2 5 3" xfId="3519" xr:uid="{00000000-0005-0000-0000-0000EA020000}"/>
    <cellStyle name="20% - Accent3 2 2 5 4" xfId="4806" xr:uid="{00000000-0005-0000-0000-0000EB020000}"/>
    <cellStyle name="20% - Accent3 2 2 6" xfId="1389" xr:uid="{00000000-0005-0000-0000-0000EC020000}"/>
    <cellStyle name="20% - Accent3 2 2 7" xfId="2667" xr:uid="{00000000-0005-0000-0000-0000ED020000}"/>
    <cellStyle name="20% - Accent3 2 2 8" xfId="3954" xr:uid="{00000000-0005-0000-0000-0000EE020000}"/>
    <cellStyle name="20% - Accent3 2 2 9" xfId="5224" xr:uid="{00000000-0005-0000-0000-0000EF020000}"/>
    <cellStyle name="20% - Accent3 2 3" xfId="105" xr:uid="{00000000-0005-0000-0000-0000F0020000}"/>
    <cellStyle name="20% - Accent3 2 3 2" xfId="312" xr:uid="{00000000-0005-0000-0000-0000F1020000}"/>
    <cellStyle name="20% - Accent3 2 3 2 2" xfId="738" xr:uid="{00000000-0005-0000-0000-0000F2020000}"/>
    <cellStyle name="20% - Accent3 2 3 2 2 2" xfId="2030" xr:uid="{00000000-0005-0000-0000-0000F3020000}"/>
    <cellStyle name="20% - Accent3 2 3 2 2 3" xfId="3308" xr:uid="{00000000-0005-0000-0000-0000F4020000}"/>
    <cellStyle name="20% - Accent3 2 3 2 2 4" xfId="4595" xr:uid="{00000000-0005-0000-0000-0000F5020000}"/>
    <cellStyle name="20% - Accent3 2 3 2 3" xfId="1164" xr:uid="{00000000-0005-0000-0000-0000F6020000}"/>
    <cellStyle name="20% - Accent3 2 3 2 3 2" xfId="2456" xr:uid="{00000000-0005-0000-0000-0000F7020000}"/>
    <cellStyle name="20% - Accent3 2 3 2 3 3" xfId="3734" xr:uid="{00000000-0005-0000-0000-0000F8020000}"/>
    <cellStyle name="20% - Accent3 2 3 2 3 4" xfId="5021" xr:uid="{00000000-0005-0000-0000-0000F9020000}"/>
    <cellStyle name="20% - Accent3 2 3 2 4" xfId="1604" xr:uid="{00000000-0005-0000-0000-0000FA020000}"/>
    <cellStyle name="20% - Accent3 2 3 2 5" xfId="2882" xr:uid="{00000000-0005-0000-0000-0000FB020000}"/>
    <cellStyle name="20% - Accent3 2 3 2 6" xfId="4169" xr:uid="{00000000-0005-0000-0000-0000FC020000}"/>
    <cellStyle name="20% - Accent3 2 3 3" xfId="525" xr:uid="{00000000-0005-0000-0000-0000FD020000}"/>
    <cellStyle name="20% - Accent3 2 3 3 2" xfId="1817" xr:uid="{00000000-0005-0000-0000-0000FE020000}"/>
    <cellStyle name="20% - Accent3 2 3 3 3" xfId="3095" xr:uid="{00000000-0005-0000-0000-0000FF020000}"/>
    <cellStyle name="20% - Accent3 2 3 3 4" xfId="4382" xr:uid="{00000000-0005-0000-0000-000000030000}"/>
    <cellStyle name="20% - Accent3 2 3 4" xfId="951" xr:uid="{00000000-0005-0000-0000-000001030000}"/>
    <cellStyle name="20% - Accent3 2 3 4 2" xfId="2243" xr:uid="{00000000-0005-0000-0000-000002030000}"/>
    <cellStyle name="20% - Accent3 2 3 4 3" xfId="3521" xr:uid="{00000000-0005-0000-0000-000003030000}"/>
    <cellStyle name="20% - Accent3 2 3 4 4" xfId="4808" xr:uid="{00000000-0005-0000-0000-000004030000}"/>
    <cellStyle name="20% - Accent3 2 3 5" xfId="1391" xr:uid="{00000000-0005-0000-0000-000005030000}"/>
    <cellStyle name="20% - Accent3 2 3 6" xfId="2669" xr:uid="{00000000-0005-0000-0000-000006030000}"/>
    <cellStyle name="20% - Accent3 2 3 7" xfId="3956" xr:uid="{00000000-0005-0000-0000-000007030000}"/>
    <cellStyle name="20% - Accent3 2 3 8" xfId="5226" xr:uid="{00000000-0005-0000-0000-000008030000}"/>
    <cellStyle name="20% - Accent3 2 4" xfId="106" xr:uid="{00000000-0005-0000-0000-000009030000}"/>
    <cellStyle name="20% - Accent3 2 4 2" xfId="313" xr:uid="{00000000-0005-0000-0000-00000A030000}"/>
    <cellStyle name="20% - Accent3 2 4 2 2" xfId="739" xr:uid="{00000000-0005-0000-0000-00000B030000}"/>
    <cellStyle name="20% - Accent3 2 4 2 2 2" xfId="2031" xr:uid="{00000000-0005-0000-0000-00000C030000}"/>
    <cellStyle name="20% - Accent3 2 4 2 2 3" xfId="3309" xr:uid="{00000000-0005-0000-0000-00000D030000}"/>
    <cellStyle name="20% - Accent3 2 4 2 2 4" xfId="4596" xr:uid="{00000000-0005-0000-0000-00000E030000}"/>
    <cellStyle name="20% - Accent3 2 4 2 3" xfId="1165" xr:uid="{00000000-0005-0000-0000-00000F030000}"/>
    <cellStyle name="20% - Accent3 2 4 2 3 2" xfId="2457" xr:uid="{00000000-0005-0000-0000-000010030000}"/>
    <cellStyle name="20% - Accent3 2 4 2 3 3" xfId="3735" xr:uid="{00000000-0005-0000-0000-000011030000}"/>
    <cellStyle name="20% - Accent3 2 4 2 3 4" xfId="5022" xr:uid="{00000000-0005-0000-0000-000012030000}"/>
    <cellStyle name="20% - Accent3 2 4 2 4" xfId="1605" xr:uid="{00000000-0005-0000-0000-000013030000}"/>
    <cellStyle name="20% - Accent3 2 4 2 5" xfId="2883" xr:uid="{00000000-0005-0000-0000-000014030000}"/>
    <cellStyle name="20% - Accent3 2 4 2 6" xfId="4170" xr:uid="{00000000-0005-0000-0000-000015030000}"/>
    <cellStyle name="20% - Accent3 2 4 3" xfId="526" xr:uid="{00000000-0005-0000-0000-000016030000}"/>
    <cellStyle name="20% - Accent3 2 4 3 2" xfId="1818" xr:uid="{00000000-0005-0000-0000-000017030000}"/>
    <cellStyle name="20% - Accent3 2 4 3 3" xfId="3096" xr:uid="{00000000-0005-0000-0000-000018030000}"/>
    <cellStyle name="20% - Accent3 2 4 3 4" xfId="4383" xr:uid="{00000000-0005-0000-0000-000019030000}"/>
    <cellStyle name="20% - Accent3 2 4 4" xfId="952" xr:uid="{00000000-0005-0000-0000-00001A030000}"/>
    <cellStyle name="20% - Accent3 2 4 4 2" xfId="2244" xr:uid="{00000000-0005-0000-0000-00001B030000}"/>
    <cellStyle name="20% - Accent3 2 4 4 3" xfId="3522" xr:uid="{00000000-0005-0000-0000-00001C030000}"/>
    <cellStyle name="20% - Accent3 2 4 4 4" xfId="4809" xr:uid="{00000000-0005-0000-0000-00001D030000}"/>
    <cellStyle name="20% - Accent3 2 4 5" xfId="1392" xr:uid="{00000000-0005-0000-0000-00001E030000}"/>
    <cellStyle name="20% - Accent3 2 4 6" xfId="2670" xr:uid="{00000000-0005-0000-0000-00001F030000}"/>
    <cellStyle name="20% - Accent3 2 4 7" xfId="3957" xr:uid="{00000000-0005-0000-0000-000020030000}"/>
    <cellStyle name="20% - Accent3 2 5" xfId="107" xr:uid="{00000000-0005-0000-0000-000021030000}"/>
    <cellStyle name="20% - Accent3 2 5 2" xfId="314" xr:uid="{00000000-0005-0000-0000-000022030000}"/>
    <cellStyle name="20% - Accent3 2 5 2 2" xfId="740" xr:uid="{00000000-0005-0000-0000-000023030000}"/>
    <cellStyle name="20% - Accent3 2 5 2 2 2" xfId="2032" xr:uid="{00000000-0005-0000-0000-000024030000}"/>
    <cellStyle name="20% - Accent3 2 5 2 2 3" xfId="3310" xr:uid="{00000000-0005-0000-0000-000025030000}"/>
    <cellStyle name="20% - Accent3 2 5 2 2 4" xfId="4597" xr:uid="{00000000-0005-0000-0000-000026030000}"/>
    <cellStyle name="20% - Accent3 2 5 2 3" xfId="1166" xr:uid="{00000000-0005-0000-0000-000027030000}"/>
    <cellStyle name="20% - Accent3 2 5 2 3 2" xfId="2458" xr:uid="{00000000-0005-0000-0000-000028030000}"/>
    <cellStyle name="20% - Accent3 2 5 2 3 3" xfId="3736" xr:uid="{00000000-0005-0000-0000-000029030000}"/>
    <cellStyle name="20% - Accent3 2 5 2 3 4" xfId="5023" xr:uid="{00000000-0005-0000-0000-00002A030000}"/>
    <cellStyle name="20% - Accent3 2 5 2 4" xfId="1606" xr:uid="{00000000-0005-0000-0000-00002B030000}"/>
    <cellStyle name="20% - Accent3 2 5 2 5" xfId="2884" xr:uid="{00000000-0005-0000-0000-00002C030000}"/>
    <cellStyle name="20% - Accent3 2 5 2 6" xfId="4171" xr:uid="{00000000-0005-0000-0000-00002D030000}"/>
    <cellStyle name="20% - Accent3 2 5 3" xfId="527" xr:uid="{00000000-0005-0000-0000-00002E030000}"/>
    <cellStyle name="20% - Accent3 2 5 3 2" xfId="1819" xr:uid="{00000000-0005-0000-0000-00002F030000}"/>
    <cellStyle name="20% - Accent3 2 5 3 3" xfId="3097" xr:uid="{00000000-0005-0000-0000-000030030000}"/>
    <cellStyle name="20% - Accent3 2 5 3 4" xfId="4384" xr:uid="{00000000-0005-0000-0000-000031030000}"/>
    <cellStyle name="20% - Accent3 2 5 4" xfId="953" xr:uid="{00000000-0005-0000-0000-000032030000}"/>
    <cellStyle name="20% - Accent3 2 5 4 2" xfId="2245" xr:uid="{00000000-0005-0000-0000-000033030000}"/>
    <cellStyle name="20% - Accent3 2 5 4 3" xfId="3523" xr:uid="{00000000-0005-0000-0000-000034030000}"/>
    <cellStyle name="20% - Accent3 2 5 4 4" xfId="4810" xr:uid="{00000000-0005-0000-0000-000035030000}"/>
    <cellStyle name="20% - Accent3 2 5 5" xfId="1393" xr:uid="{00000000-0005-0000-0000-000036030000}"/>
    <cellStyle name="20% - Accent3 2 5 6" xfId="2671" xr:uid="{00000000-0005-0000-0000-000037030000}"/>
    <cellStyle name="20% - Accent3 2 5 7" xfId="3958" xr:uid="{00000000-0005-0000-0000-000038030000}"/>
    <cellStyle name="20% - Accent3 2 6" xfId="273" xr:uid="{00000000-0005-0000-0000-000039030000}"/>
    <cellStyle name="20% - Accent3 2 6 2" xfId="486" xr:uid="{00000000-0005-0000-0000-00003A030000}"/>
    <cellStyle name="20% - Accent3 2 6 2 2" xfId="911" xr:uid="{00000000-0005-0000-0000-00003B030000}"/>
    <cellStyle name="20% - Accent3 2 6 2 2 2" xfId="2203" xr:uid="{00000000-0005-0000-0000-00003C030000}"/>
    <cellStyle name="20% - Accent3 2 6 2 2 3" xfId="3481" xr:uid="{00000000-0005-0000-0000-00003D030000}"/>
    <cellStyle name="20% - Accent3 2 6 2 2 4" xfId="4768" xr:uid="{00000000-0005-0000-0000-00003E030000}"/>
    <cellStyle name="20% - Accent3 2 6 2 3" xfId="1337" xr:uid="{00000000-0005-0000-0000-00003F030000}"/>
    <cellStyle name="20% - Accent3 2 6 2 3 2" xfId="2629" xr:uid="{00000000-0005-0000-0000-000040030000}"/>
    <cellStyle name="20% - Accent3 2 6 2 3 3" xfId="3907" xr:uid="{00000000-0005-0000-0000-000041030000}"/>
    <cellStyle name="20% - Accent3 2 6 2 3 4" xfId="5194" xr:uid="{00000000-0005-0000-0000-000042030000}"/>
    <cellStyle name="20% - Accent3 2 6 2 4" xfId="1777" xr:uid="{00000000-0005-0000-0000-000043030000}"/>
    <cellStyle name="20% - Accent3 2 6 2 5" xfId="3055" xr:uid="{00000000-0005-0000-0000-000044030000}"/>
    <cellStyle name="20% - Accent3 2 6 2 6" xfId="4342" xr:uid="{00000000-0005-0000-0000-000045030000}"/>
    <cellStyle name="20% - Accent3 2 6 3" xfId="698" xr:uid="{00000000-0005-0000-0000-000046030000}"/>
    <cellStyle name="20% - Accent3 2 6 3 2" xfId="1990" xr:uid="{00000000-0005-0000-0000-000047030000}"/>
    <cellStyle name="20% - Accent3 2 6 3 3" xfId="3268" xr:uid="{00000000-0005-0000-0000-000048030000}"/>
    <cellStyle name="20% - Accent3 2 6 3 4" xfId="4555" xr:uid="{00000000-0005-0000-0000-000049030000}"/>
    <cellStyle name="20% - Accent3 2 6 4" xfId="1124" xr:uid="{00000000-0005-0000-0000-00004A030000}"/>
    <cellStyle name="20% - Accent3 2 6 4 2" xfId="2416" xr:uid="{00000000-0005-0000-0000-00004B030000}"/>
    <cellStyle name="20% - Accent3 2 6 4 3" xfId="3694" xr:uid="{00000000-0005-0000-0000-00004C030000}"/>
    <cellStyle name="20% - Accent3 2 6 4 4" xfId="4981" xr:uid="{00000000-0005-0000-0000-00004D030000}"/>
    <cellStyle name="20% - Accent3 2 6 5" xfId="1564" xr:uid="{00000000-0005-0000-0000-00004E030000}"/>
    <cellStyle name="20% - Accent3 2 6 6" xfId="2842" xr:uid="{00000000-0005-0000-0000-00004F030000}"/>
    <cellStyle name="20% - Accent3 2 6 7" xfId="4129" xr:uid="{00000000-0005-0000-0000-000050030000}"/>
    <cellStyle name="20% - Accent3 2 7" xfId="309" xr:uid="{00000000-0005-0000-0000-000051030000}"/>
    <cellStyle name="20% - Accent3 2 7 2" xfId="735" xr:uid="{00000000-0005-0000-0000-000052030000}"/>
    <cellStyle name="20% - Accent3 2 7 2 2" xfId="2027" xr:uid="{00000000-0005-0000-0000-000053030000}"/>
    <cellStyle name="20% - Accent3 2 7 2 3" xfId="3305" xr:uid="{00000000-0005-0000-0000-000054030000}"/>
    <cellStyle name="20% - Accent3 2 7 2 4" xfId="4592" xr:uid="{00000000-0005-0000-0000-000055030000}"/>
    <cellStyle name="20% - Accent3 2 7 3" xfId="1161" xr:uid="{00000000-0005-0000-0000-000056030000}"/>
    <cellStyle name="20% - Accent3 2 7 3 2" xfId="2453" xr:uid="{00000000-0005-0000-0000-000057030000}"/>
    <cellStyle name="20% - Accent3 2 7 3 3" xfId="3731" xr:uid="{00000000-0005-0000-0000-000058030000}"/>
    <cellStyle name="20% - Accent3 2 7 3 4" xfId="5018" xr:uid="{00000000-0005-0000-0000-000059030000}"/>
    <cellStyle name="20% - Accent3 2 7 4" xfId="1601" xr:uid="{00000000-0005-0000-0000-00005A030000}"/>
    <cellStyle name="20% - Accent3 2 7 5" xfId="2879" xr:uid="{00000000-0005-0000-0000-00005B030000}"/>
    <cellStyle name="20% - Accent3 2 7 6" xfId="4166" xr:uid="{00000000-0005-0000-0000-00005C030000}"/>
    <cellStyle name="20% - Accent3 2 8" xfId="522" xr:uid="{00000000-0005-0000-0000-00005D030000}"/>
    <cellStyle name="20% - Accent3 2 8 2" xfId="1814" xr:uid="{00000000-0005-0000-0000-00005E030000}"/>
    <cellStyle name="20% - Accent3 2 8 3" xfId="3092" xr:uid="{00000000-0005-0000-0000-00005F030000}"/>
    <cellStyle name="20% - Accent3 2 8 4" xfId="4379" xr:uid="{00000000-0005-0000-0000-000060030000}"/>
    <cellStyle name="20% - Accent3 2 9" xfId="948" xr:uid="{00000000-0005-0000-0000-000061030000}"/>
    <cellStyle name="20% - Accent3 2 9 2" xfId="2240" xr:uid="{00000000-0005-0000-0000-000062030000}"/>
    <cellStyle name="20% - Accent3 2 9 3" xfId="3518" xr:uid="{00000000-0005-0000-0000-000063030000}"/>
    <cellStyle name="20% - Accent3 2 9 4" xfId="4805" xr:uid="{00000000-0005-0000-0000-000064030000}"/>
    <cellStyle name="20% - Accent3 3" xfId="108" xr:uid="{00000000-0005-0000-0000-000065030000}"/>
    <cellStyle name="20% - Accent3 3 2" xfId="109" xr:uid="{00000000-0005-0000-0000-000066030000}"/>
    <cellStyle name="20% - Accent3 3 2 2" xfId="316" xr:uid="{00000000-0005-0000-0000-000067030000}"/>
    <cellStyle name="20% - Accent3 3 2 2 2" xfId="742" xr:uid="{00000000-0005-0000-0000-000068030000}"/>
    <cellStyle name="20% - Accent3 3 2 2 2 2" xfId="2034" xr:uid="{00000000-0005-0000-0000-000069030000}"/>
    <cellStyle name="20% - Accent3 3 2 2 2 3" xfId="3312" xr:uid="{00000000-0005-0000-0000-00006A030000}"/>
    <cellStyle name="20% - Accent3 3 2 2 2 4" xfId="4599" xr:uid="{00000000-0005-0000-0000-00006B030000}"/>
    <cellStyle name="20% - Accent3 3 2 2 3" xfId="1168" xr:uid="{00000000-0005-0000-0000-00006C030000}"/>
    <cellStyle name="20% - Accent3 3 2 2 3 2" xfId="2460" xr:uid="{00000000-0005-0000-0000-00006D030000}"/>
    <cellStyle name="20% - Accent3 3 2 2 3 3" xfId="3738" xr:uid="{00000000-0005-0000-0000-00006E030000}"/>
    <cellStyle name="20% - Accent3 3 2 2 3 4" xfId="5025" xr:uid="{00000000-0005-0000-0000-00006F030000}"/>
    <cellStyle name="20% - Accent3 3 2 2 4" xfId="1608" xr:uid="{00000000-0005-0000-0000-000070030000}"/>
    <cellStyle name="20% - Accent3 3 2 2 5" xfId="2886" xr:uid="{00000000-0005-0000-0000-000071030000}"/>
    <cellStyle name="20% - Accent3 3 2 2 6" xfId="4173" xr:uid="{00000000-0005-0000-0000-000072030000}"/>
    <cellStyle name="20% - Accent3 3 2 3" xfId="529" xr:uid="{00000000-0005-0000-0000-000073030000}"/>
    <cellStyle name="20% - Accent3 3 2 3 2" xfId="1821" xr:uid="{00000000-0005-0000-0000-000074030000}"/>
    <cellStyle name="20% - Accent3 3 2 3 3" xfId="3099" xr:uid="{00000000-0005-0000-0000-000075030000}"/>
    <cellStyle name="20% - Accent3 3 2 3 4" xfId="4386" xr:uid="{00000000-0005-0000-0000-000076030000}"/>
    <cellStyle name="20% - Accent3 3 2 4" xfId="955" xr:uid="{00000000-0005-0000-0000-000077030000}"/>
    <cellStyle name="20% - Accent3 3 2 4 2" xfId="2247" xr:uid="{00000000-0005-0000-0000-000078030000}"/>
    <cellStyle name="20% - Accent3 3 2 4 3" xfId="3525" xr:uid="{00000000-0005-0000-0000-000079030000}"/>
    <cellStyle name="20% - Accent3 3 2 4 4" xfId="4812" xr:uid="{00000000-0005-0000-0000-00007A030000}"/>
    <cellStyle name="20% - Accent3 3 2 5" xfId="1395" xr:uid="{00000000-0005-0000-0000-00007B030000}"/>
    <cellStyle name="20% - Accent3 3 2 6" xfId="2673" xr:uid="{00000000-0005-0000-0000-00007C030000}"/>
    <cellStyle name="20% - Accent3 3 2 7" xfId="3960" xr:uid="{00000000-0005-0000-0000-00007D030000}"/>
    <cellStyle name="20% - Accent3 3 2 8" xfId="5228" xr:uid="{00000000-0005-0000-0000-00007E030000}"/>
    <cellStyle name="20% - Accent3 3 3" xfId="315" xr:uid="{00000000-0005-0000-0000-00007F030000}"/>
    <cellStyle name="20% - Accent3 3 3 2" xfId="741" xr:uid="{00000000-0005-0000-0000-000080030000}"/>
    <cellStyle name="20% - Accent3 3 3 2 2" xfId="2033" xr:uid="{00000000-0005-0000-0000-000081030000}"/>
    <cellStyle name="20% - Accent3 3 3 2 3" xfId="3311" xr:uid="{00000000-0005-0000-0000-000082030000}"/>
    <cellStyle name="20% - Accent3 3 3 2 4" xfId="4598" xr:uid="{00000000-0005-0000-0000-000083030000}"/>
    <cellStyle name="20% - Accent3 3 3 3" xfId="1167" xr:uid="{00000000-0005-0000-0000-000084030000}"/>
    <cellStyle name="20% - Accent3 3 3 3 2" xfId="2459" xr:uid="{00000000-0005-0000-0000-000085030000}"/>
    <cellStyle name="20% - Accent3 3 3 3 3" xfId="3737" xr:uid="{00000000-0005-0000-0000-000086030000}"/>
    <cellStyle name="20% - Accent3 3 3 3 4" xfId="5024" xr:uid="{00000000-0005-0000-0000-000087030000}"/>
    <cellStyle name="20% - Accent3 3 3 4" xfId="1607" xr:uid="{00000000-0005-0000-0000-000088030000}"/>
    <cellStyle name="20% - Accent3 3 3 5" xfId="2885" xr:uid="{00000000-0005-0000-0000-000089030000}"/>
    <cellStyle name="20% - Accent3 3 3 6" xfId="4172" xr:uid="{00000000-0005-0000-0000-00008A030000}"/>
    <cellStyle name="20% - Accent3 3 4" xfId="528" xr:uid="{00000000-0005-0000-0000-00008B030000}"/>
    <cellStyle name="20% - Accent3 3 4 2" xfId="1820" xr:uid="{00000000-0005-0000-0000-00008C030000}"/>
    <cellStyle name="20% - Accent3 3 4 3" xfId="3098" xr:uid="{00000000-0005-0000-0000-00008D030000}"/>
    <cellStyle name="20% - Accent3 3 4 4" xfId="4385" xr:uid="{00000000-0005-0000-0000-00008E030000}"/>
    <cellStyle name="20% - Accent3 3 5" xfId="954" xr:uid="{00000000-0005-0000-0000-00008F030000}"/>
    <cellStyle name="20% - Accent3 3 5 2" xfId="2246" xr:uid="{00000000-0005-0000-0000-000090030000}"/>
    <cellStyle name="20% - Accent3 3 5 3" xfId="3524" xr:uid="{00000000-0005-0000-0000-000091030000}"/>
    <cellStyle name="20% - Accent3 3 5 4" xfId="4811" xr:uid="{00000000-0005-0000-0000-000092030000}"/>
    <cellStyle name="20% - Accent3 3 6" xfId="1394" xr:uid="{00000000-0005-0000-0000-000093030000}"/>
    <cellStyle name="20% - Accent3 3 7" xfId="2672" xr:uid="{00000000-0005-0000-0000-000094030000}"/>
    <cellStyle name="20% - Accent3 3 8" xfId="3959" xr:uid="{00000000-0005-0000-0000-000095030000}"/>
    <cellStyle name="20% - Accent3 3 9" xfId="5227" xr:uid="{00000000-0005-0000-0000-000096030000}"/>
    <cellStyle name="20% - Accent3 4" xfId="110" xr:uid="{00000000-0005-0000-0000-000097030000}"/>
    <cellStyle name="20% - Accent3 4 2" xfId="317" xr:uid="{00000000-0005-0000-0000-000098030000}"/>
    <cellStyle name="20% - Accent3 4 2 2" xfId="743" xr:uid="{00000000-0005-0000-0000-000099030000}"/>
    <cellStyle name="20% - Accent3 4 2 2 2" xfId="2035" xr:uid="{00000000-0005-0000-0000-00009A030000}"/>
    <cellStyle name="20% - Accent3 4 2 2 3" xfId="3313" xr:uid="{00000000-0005-0000-0000-00009B030000}"/>
    <cellStyle name="20% - Accent3 4 2 2 4" xfId="4600" xr:uid="{00000000-0005-0000-0000-00009C030000}"/>
    <cellStyle name="20% - Accent3 4 2 3" xfId="1169" xr:uid="{00000000-0005-0000-0000-00009D030000}"/>
    <cellStyle name="20% - Accent3 4 2 3 2" xfId="2461" xr:uid="{00000000-0005-0000-0000-00009E030000}"/>
    <cellStyle name="20% - Accent3 4 2 3 3" xfId="3739" xr:uid="{00000000-0005-0000-0000-00009F030000}"/>
    <cellStyle name="20% - Accent3 4 2 3 4" xfId="5026" xr:uid="{00000000-0005-0000-0000-0000A0030000}"/>
    <cellStyle name="20% - Accent3 4 2 4" xfId="1609" xr:uid="{00000000-0005-0000-0000-0000A1030000}"/>
    <cellStyle name="20% - Accent3 4 2 5" xfId="2887" xr:uid="{00000000-0005-0000-0000-0000A2030000}"/>
    <cellStyle name="20% - Accent3 4 2 6" xfId="4174" xr:uid="{00000000-0005-0000-0000-0000A3030000}"/>
    <cellStyle name="20% - Accent3 4 3" xfId="530" xr:uid="{00000000-0005-0000-0000-0000A4030000}"/>
    <cellStyle name="20% - Accent3 4 3 2" xfId="1822" xr:uid="{00000000-0005-0000-0000-0000A5030000}"/>
    <cellStyle name="20% - Accent3 4 3 3" xfId="3100" xr:uid="{00000000-0005-0000-0000-0000A6030000}"/>
    <cellStyle name="20% - Accent3 4 3 4" xfId="4387" xr:uid="{00000000-0005-0000-0000-0000A7030000}"/>
    <cellStyle name="20% - Accent3 4 4" xfId="956" xr:uid="{00000000-0005-0000-0000-0000A8030000}"/>
    <cellStyle name="20% - Accent3 4 4 2" xfId="2248" xr:uid="{00000000-0005-0000-0000-0000A9030000}"/>
    <cellStyle name="20% - Accent3 4 4 3" xfId="3526" xr:uid="{00000000-0005-0000-0000-0000AA030000}"/>
    <cellStyle name="20% - Accent3 4 4 4" xfId="4813" xr:uid="{00000000-0005-0000-0000-0000AB030000}"/>
    <cellStyle name="20% - Accent3 4 5" xfId="1396" xr:uid="{00000000-0005-0000-0000-0000AC030000}"/>
    <cellStyle name="20% - Accent3 4 6" xfId="2674" xr:uid="{00000000-0005-0000-0000-0000AD030000}"/>
    <cellStyle name="20% - Accent3 4 7" xfId="3961" xr:uid="{00000000-0005-0000-0000-0000AE030000}"/>
    <cellStyle name="20% - Accent3 4 8" xfId="5229" xr:uid="{00000000-0005-0000-0000-0000AF030000}"/>
    <cellStyle name="20% - Accent3 5" xfId="111" xr:uid="{00000000-0005-0000-0000-0000B0030000}"/>
    <cellStyle name="20% - Accent3 5 2" xfId="318" xr:uid="{00000000-0005-0000-0000-0000B1030000}"/>
    <cellStyle name="20% - Accent3 5 2 2" xfId="744" xr:uid="{00000000-0005-0000-0000-0000B2030000}"/>
    <cellStyle name="20% - Accent3 5 2 2 2" xfId="2036" xr:uid="{00000000-0005-0000-0000-0000B3030000}"/>
    <cellStyle name="20% - Accent3 5 2 2 3" xfId="3314" xr:uid="{00000000-0005-0000-0000-0000B4030000}"/>
    <cellStyle name="20% - Accent3 5 2 2 4" xfId="4601" xr:uid="{00000000-0005-0000-0000-0000B5030000}"/>
    <cellStyle name="20% - Accent3 5 2 3" xfId="1170" xr:uid="{00000000-0005-0000-0000-0000B6030000}"/>
    <cellStyle name="20% - Accent3 5 2 3 2" xfId="2462" xr:uid="{00000000-0005-0000-0000-0000B7030000}"/>
    <cellStyle name="20% - Accent3 5 2 3 3" xfId="3740" xr:uid="{00000000-0005-0000-0000-0000B8030000}"/>
    <cellStyle name="20% - Accent3 5 2 3 4" xfId="5027" xr:uid="{00000000-0005-0000-0000-0000B9030000}"/>
    <cellStyle name="20% - Accent3 5 2 4" xfId="1610" xr:uid="{00000000-0005-0000-0000-0000BA030000}"/>
    <cellStyle name="20% - Accent3 5 2 5" xfId="2888" xr:uid="{00000000-0005-0000-0000-0000BB030000}"/>
    <cellStyle name="20% - Accent3 5 2 6" xfId="4175" xr:uid="{00000000-0005-0000-0000-0000BC030000}"/>
    <cellStyle name="20% - Accent3 5 3" xfId="531" xr:uid="{00000000-0005-0000-0000-0000BD030000}"/>
    <cellStyle name="20% - Accent3 5 3 2" xfId="1823" xr:uid="{00000000-0005-0000-0000-0000BE030000}"/>
    <cellStyle name="20% - Accent3 5 3 3" xfId="3101" xr:uid="{00000000-0005-0000-0000-0000BF030000}"/>
    <cellStyle name="20% - Accent3 5 3 4" xfId="4388" xr:uid="{00000000-0005-0000-0000-0000C0030000}"/>
    <cellStyle name="20% - Accent3 5 4" xfId="957" xr:uid="{00000000-0005-0000-0000-0000C1030000}"/>
    <cellStyle name="20% - Accent3 5 4 2" xfId="2249" xr:uid="{00000000-0005-0000-0000-0000C2030000}"/>
    <cellStyle name="20% - Accent3 5 4 3" xfId="3527" xr:uid="{00000000-0005-0000-0000-0000C3030000}"/>
    <cellStyle name="20% - Accent3 5 4 4" xfId="4814" xr:uid="{00000000-0005-0000-0000-0000C4030000}"/>
    <cellStyle name="20% - Accent3 5 5" xfId="1397" xr:uid="{00000000-0005-0000-0000-0000C5030000}"/>
    <cellStyle name="20% - Accent3 5 6" xfId="2675" xr:uid="{00000000-0005-0000-0000-0000C6030000}"/>
    <cellStyle name="20% - Accent3 5 7" xfId="3962" xr:uid="{00000000-0005-0000-0000-0000C7030000}"/>
    <cellStyle name="20% - Accent3 6" xfId="112" xr:uid="{00000000-0005-0000-0000-0000C8030000}"/>
    <cellStyle name="20% - Accent3 6 2" xfId="319" xr:uid="{00000000-0005-0000-0000-0000C9030000}"/>
    <cellStyle name="20% - Accent3 6 2 2" xfId="745" xr:uid="{00000000-0005-0000-0000-0000CA030000}"/>
    <cellStyle name="20% - Accent3 6 2 2 2" xfId="2037" xr:uid="{00000000-0005-0000-0000-0000CB030000}"/>
    <cellStyle name="20% - Accent3 6 2 2 3" xfId="3315" xr:uid="{00000000-0005-0000-0000-0000CC030000}"/>
    <cellStyle name="20% - Accent3 6 2 2 4" xfId="4602" xr:uid="{00000000-0005-0000-0000-0000CD030000}"/>
    <cellStyle name="20% - Accent3 6 2 3" xfId="1171" xr:uid="{00000000-0005-0000-0000-0000CE030000}"/>
    <cellStyle name="20% - Accent3 6 2 3 2" xfId="2463" xr:uid="{00000000-0005-0000-0000-0000CF030000}"/>
    <cellStyle name="20% - Accent3 6 2 3 3" xfId="3741" xr:uid="{00000000-0005-0000-0000-0000D0030000}"/>
    <cellStyle name="20% - Accent3 6 2 3 4" xfId="5028" xr:uid="{00000000-0005-0000-0000-0000D1030000}"/>
    <cellStyle name="20% - Accent3 6 2 4" xfId="1611" xr:uid="{00000000-0005-0000-0000-0000D2030000}"/>
    <cellStyle name="20% - Accent3 6 2 5" xfId="2889" xr:uid="{00000000-0005-0000-0000-0000D3030000}"/>
    <cellStyle name="20% - Accent3 6 2 6" xfId="4176" xr:uid="{00000000-0005-0000-0000-0000D4030000}"/>
    <cellStyle name="20% - Accent3 6 3" xfId="532" xr:uid="{00000000-0005-0000-0000-0000D5030000}"/>
    <cellStyle name="20% - Accent3 6 3 2" xfId="1824" xr:uid="{00000000-0005-0000-0000-0000D6030000}"/>
    <cellStyle name="20% - Accent3 6 3 3" xfId="3102" xr:uid="{00000000-0005-0000-0000-0000D7030000}"/>
    <cellStyle name="20% - Accent3 6 3 4" xfId="4389" xr:uid="{00000000-0005-0000-0000-0000D8030000}"/>
    <cellStyle name="20% - Accent3 6 4" xfId="958" xr:uid="{00000000-0005-0000-0000-0000D9030000}"/>
    <cellStyle name="20% - Accent3 6 4 2" xfId="2250" xr:uid="{00000000-0005-0000-0000-0000DA030000}"/>
    <cellStyle name="20% - Accent3 6 4 3" xfId="3528" xr:uid="{00000000-0005-0000-0000-0000DB030000}"/>
    <cellStyle name="20% - Accent3 6 4 4" xfId="4815" xr:uid="{00000000-0005-0000-0000-0000DC030000}"/>
    <cellStyle name="20% - Accent3 6 5" xfId="1398" xr:uid="{00000000-0005-0000-0000-0000DD030000}"/>
    <cellStyle name="20% - Accent3 6 6" xfId="2676" xr:uid="{00000000-0005-0000-0000-0000DE030000}"/>
    <cellStyle name="20% - Accent3 6 7" xfId="3963" xr:uid="{00000000-0005-0000-0000-0000DF030000}"/>
    <cellStyle name="20% - Accent3 7" xfId="256" xr:uid="{00000000-0005-0000-0000-0000E0030000}"/>
    <cellStyle name="20% - Accent3 7 2" xfId="469" xr:uid="{00000000-0005-0000-0000-0000E1030000}"/>
    <cellStyle name="20% - Accent3 7 2 2" xfId="894" xr:uid="{00000000-0005-0000-0000-0000E2030000}"/>
    <cellStyle name="20% - Accent3 7 2 2 2" xfId="2186" xr:uid="{00000000-0005-0000-0000-0000E3030000}"/>
    <cellStyle name="20% - Accent3 7 2 2 3" xfId="3464" xr:uid="{00000000-0005-0000-0000-0000E4030000}"/>
    <cellStyle name="20% - Accent3 7 2 2 4" xfId="4751" xr:uid="{00000000-0005-0000-0000-0000E5030000}"/>
    <cellStyle name="20% - Accent3 7 2 3" xfId="1320" xr:uid="{00000000-0005-0000-0000-0000E6030000}"/>
    <cellStyle name="20% - Accent3 7 2 3 2" xfId="2612" xr:uid="{00000000-0005-0000-0000-0000E7030000}"/>
    <cellStyle name="20% - Accent3 7 2 3 3" xfId="3890" xr:uid="{00000000-0005-0000-0000-0000E8030000}"/>
    <cellStyle name="20% - Accent3 7 2 3 4" xfId="5177" xr:uid="{00000000-0005-0000-0000-0000E9030000}"/>
    <cellStyle name="20% - Accent3 7 2 4" xfId="1760" xr:uid="{00000000-0005-0000-0000-0000EA030000}"/>
    <cellStyle name="20% - Accent3 7 2 5" xfId="3038" xr:uid="{00000000-0005-0000-0000-0000EB030000}"/>
    <cellStyle name="20% - Accent3 7 2 6" xfId="4325" xr:uid="{00000000-0005-0000-0000-0000EC030000}"/>
    <cellStyle name="20% - Accent3 7 3" xfId="681" xr:uid="{00000000-0005-0000-0000-0000ED030000}"/>
    <cellStyle name="20% - Accent3 7 3 2" xfId="1973" xr:uid="{00000000-0005-0000-0000-0000EE030000}"/>
    <cellStyle name="20% - Accent3 7 3 3" xfId="3251" xr:uid="{00000000-0005-0000-0000-0000EF030000}"/>
    <cellStyle name="20% - Accent3 7 3 4" xfId="4538" xr:uid="{00000000-0005-0000-0000-0000F0030000}"/>
    <cellStyle name="20% - Accent3 7 4" xfId="1107" xr:uid="{00000000-0005-0000-0000-0000F1030000}"/>
    <cellStyle name="20% - Accent3 7 4 2" xfId="2399" xr:uid="{00000000-0005-0000-0000-0000F2030000}"/>
    <cellStyle name="20% - Accent3 7 4 3" xfId="3677" xr:uid="{00000000-0005-0000-0000-0000F3030000}"/>
    <cellStyle name="20% - Accent3 7 4 4" xfId="4964" xr:uid="{00000000-0005-0000-0000-0000F4030000}"/>
    <cellStyle name="20% - Accent3 7 5" xfId="1547" xr:uid="{00000000-0005-0000-0000-0000F5030000}"/>
    <cellStyle name="20% - Accent3 7 6" xfId="2825" xr:uid="{00000000-0005-0000-0000-0000F6030000}"/>
    <cellStyle name="20% - Accent3 7 7" xfId="4112" xr:uid="{00000000-0005-0000-0000-0000F7030000}"/>
    <cellStyle name="20% - Accent3 8" xfId="308" xr:uid="{00000000-0005-0000-0000-0000F8030000}"/>
    <cellStyle name="20% - Accent3 8 2" xfId="734" xr:uid="{00000000-0005-0000-0000-0000F9030000}"/>
    <cellStyle name="20% - Accent3 8 2 2" xfId="2026" xr:uid="{00000000-0005-0000-0000-0000FA030000}"/>
    <cellStyle name="20% - Accent3 8 2 3" xfId="3304" xr:uid="{00000000-0005-0000-0000-0000FB030000}"/>
    <cellStyle name="20% - Accent3 8 2 4" xfId="4591" xr:uid="{00000000-0005-0000-0000-0000FC030000}"/>
    <cellStyle name="20% - Accent3 8 3" xfId="1160" xr:uid="{00000000-0005-0000-0000-0000FD030000}"/>
    <cellStyle name="20% - Accent3 8 3 2" xfId="2452" xr:uid="{00000000-0005-0000-0000-0000FE030000}"/>
    <cellStyle name="20% - Accent3 8 3 3" xfId="3730" xr:uid="{00000000-0005-0000-0000-0000FF030000}"/>
    <cellStyle name="20% - Accent3 8 3 4" xfId="5017" xr:uid="{00000000-0005-0000-0000-000000040000}"/>
    <cellStyle name="20% - Accent3 8 4" xfId="1600" xr:uid="{00000000-0005-0000-0000-000001040000}"/>
    <cellStyle name="20% - Accent3 8 5" xfId="2878" xr:uid="{00000000-0005-0000-0000-000002040000}"/>
    <cellStyle name="20% - Accent3 8 6" xfId="4165" xr:uid="{00000000-0005-0000-0000-000003040000}"/>
    <cellStyle name="20% - Accent3 9" xfId="521" xr:uid="{00000000-0005-0000-0000-000004040000}"/>
    <cellStyle name="20% - Accent3 9 2" xfId="1813" xr:uid="{00000000-0005-0000-0000-000005040000}"/>
    <cellStyle name="20% - Accent3 9 3" xfId="3091" xr:uid="{00000000-0005-0000-0000-000006040000}"/>
    <cellStyle name="20% - Accent3 9 4" xfId="4378" xr:uid="{00000000-0005-0000-0000-000007040000}"/>
    <cellStyle name="20% - Accent4" xfId="70" builtinId="42" customBuiltin="1"/>
    <cellStyle name="20% - Accent4 10" xfId="959" xr:uid="{00000000-0005-0000-0000-000009040000}"/>
    <cellStyle name="20% - Accent4 10 2" xfId="2251" xr:uid="{00000000-0005-0000-0000-00000A040000}"/>
    <cellStyle name="20% - Accent4 10 3" xfId="3529" xr:uid="{00000000-0005-0000-0000-00000B040000}"/>
    <cellStyle name="20% - Accent4 10 4" xfId="4816" xr:uid="{00000000-0005-0000-0000-00000C040000}"/>
    <cellStyle name="20% - Accent4 11" xfId="1399" xr:uid="{00000000-0005-0000-0000-00000D040000}"/>
    <cellStyle name="20% - Accent4 12" xfId="2677" xr:uid="{00000000-0005-0000-0000-00000E040000}"/>
    <cellStyle name="20% - Accent4 13" xfId="3964" xr:uid="{00000000-0005-0000-0000-00000F040000}"/>
    <cellStyle name="20% - Accent4 14" xfId="5230" xr:uid="{00000000-0005-0000-0000-000010040000}"/>
    <cellStyle name="20% - Accent4 2" xfId="13" xr:uid="{00000000-0005-0000-0000-000011040000}"/>
    <cellStyle name="20% - Accent4 2 10" xfId="1400" xr:uid="{00000000-0005-0000-0000-000012040000}"/>
    <cellStyle name="20% - Accent4 2 11" xfId="2678" xr:uid="{00000000-0005-0000-0000-000013040000}"/>
    <cellStyle name="20% - Accent4 2 12" xfId="3965" xr:uid="{00000000-0005-0000-0000-000014040000}"/>
    <cellStyle name="20% - Accent4 2 13" xfId="5231" xr:uid="{00000000-0005-0000-0000-000015040000}"/>
    <cellStyle name="20% - Accent4 2 2" xfId="113" xr:uid="{00000000-0005-0000-0000-000016040000}"/>
    <cellStyle name="20% - Accent4 2 2 2" xfId="114" xr:uid="{00000000-0005-0000-0000-000017040000}"/>
    <cellStyle name="20% - Accent4 2 2 2 2" xfId="323" xr:uid="{00000000-0005-0000-0000-000018040000}"/>
    <cellStyle name="20% - Accent4 2 2 2 2 2" xfId="749" xr:uid="{00000000-0005-0000-0000-000019040000}"/>
    <cellStyle name="20% - Accent4 2 2 2 2 2 2" xfId="2041" xr:uid="{00000000-0005-0000-0000-00001A040000}"/>
    <cellStyle name="20% - Accent4 2 2 2 2 2 3" xfId="3319" xr:uid="{00000000-0005-0000-0000-00001B040000}"/>
    <cellStyle name="20% - Accent4 2 2 2 2 2 4" xfId="4606" xr:uid="{00000000-0005-0000-0000-00001C040000}"/>
    <cellStyle name="20% - Accent4 2 2 2 2 3" xfId="1175" xr:uid="{00000000-0005-0000-0000-00001D040000}"/>
    <cellStyle name="20% - Accent4 2 2 2 2 3 2" xfId="2467" xr:uid="{00000000-0005-0000-0000-00001E040000}"/>
    <cellStyle name="20% - Accent4 2 2 2 2 3 3" xfId="3745" xr:uid="{00000000-0005-0000-0000-00001F040000}"/>
    <cellStyle name="20% - Accent4 2 2 2 2 3 4" xfId="5032" xr:uid="{00000000-0005-0000-0000-000020040000}"/>
    <cellStyle name="20% - Accent4 2 2 2 2 4" xfId="1615" xr:uid="{00000000-0005-0000-0000-000021040000}"/>
    <cellStyle name="20% - Accent4 2 2 2 2 5" xfId="2893" xr:uid="{00000000-0005-0000-0000-000022040000}"/>
    <cellStyle name="20% - Accent4 2 2 2 2 6" xfId="4180" xr:uid="{00000000-0005-0000-0000-000023040000}"/>
    <cellStyle name="20% - Accent4 2 2 2 3" xfId="536" xr:uid="{00000000-0005-0000-0000-000024040000}"/>
    <cellStyle name="20% - Accent4 2 2 2 3 2" xfId="1828" xr:uid="{00000000-0005-0000-0000-000025040000}"/>
    <cellStyle name="20% - Accent4 2 2 2 3 3" xfId="3106" xr:uid="{00000000-0005-0000-0000-000026040000}"/>
    <cellStyle name="20% - Accent4 2 2 2 3 4" xfId="4393" xr:uid="{00000000-0005-0000-0000-000027040000}"/>
    <cellStyle name="20% - Accent4 2 2 2 4" xfId="962" xr:uid="{00000000-0005-0000-0000-000028040000}"/>
    <cellStyle name="20% - Accent4 2 2 2 4 2" xfId="2254" xr:uid="{00000000-0005-0000-0000-000029040000}"/>
    <cellStyle name="20% - Accent4 2 2 2 4 3" xfId="3532" xr:uid="{00000000-0005-0000-0000-00002A040000}"/>
    <cellStyle name="20% - Accent4 2 2 2 4 4" xfId="4819" xr:uid="{00000000-0005-0000-0000-00002B040000}"/>
    <cellStyle name="20% - Accent4 2 2 2 5" xfId="1402" xr:uid="{00000000-0005-0000-0000-00002C040000}"/>
    <cellStyle name="20% - Accent4 2 2 2 6" xfId="2680" xr:uid="{00000000-0005-0000-0000-00002D040000}"/>
    <cellStyle name="20% - Accent4 2 2 2 7" xfId="3967" xr:uid="{00000000-0005-0000-0000-00002E040000}"/>
    <cellStyle name="20% - Accent4 2 2 2 8" xfId="5233" xr:uid="{00000000-0005-0000-0000-00002F040000}"/>
    <cellStyle name="20% - Accent4 2 2 3" xfId="322" xr:uid="{00000000-0005-0000-0000-000030040000}"/>
    <cellStyle name="20% - Accent4 2 2 3 2" xfId="748" xr:uid="{00000000-0005-0000-0000-000031040000}"/>
    <cellStyle name="20% - Accent4 2 2 3 2 2" xfId="2040" xr:uid="{00000000-0005-0000-0000-000032040000}"/>
    <cellStyle name="20% - Accent4 2 2 3 2 3" xfId="3318" xr:uid="{00000000-0005-0000-0000-000033040000}"/>
    <cellStyle name="20% - Accent4 2 2 3 2 4" xfId="4605" xr:uid="{00000000-0005-0000-0000-000034040000}"/>
    <cellStyle name="20% - Accent4 2 2 3 3" xfId="1174" xr:uid="{00000000-0005-0000-0000-000035040000}"/>
    <cellStyle name="20% - Accent4 2 2 3 3 2" xfId="2466" xr:uid="{00000000-0005-0000-0000-000036040000}"/>
    <cellStyle name="20% - Accent4 2 2 3 3 3" xfId="3744" xr:uid="{00000000-0005-0000-0000-000037040000}"/>
    <cellStyle name="20% - Accent4 2 2 3 3 4" xfId="5031" xr:uid="{00000000-0005-0000-0000-000038040000}"/>
    <cellStyle name="20% - Accent4 2 2 3 4" xfId="1614" xr:uid="{00000000-0005-0000-0000-000039040000}"/>
    <cellStyle name="20% - Accent4 2 2 3 5" xfId="2892" xr:uid="{00000000-0005-0000-0000-00003A040000}"/>
    <cellStyle name="20% - Accent4 2 2 3 6" xfId="4179" xr:uid="{00000000-0005-0000-0000-00003B040000}"/>
    <cellStyle name="20% - Accent4 2 2 4" xfId="535" xr:uid="{00000000-0005-0000-0000-00003C040000}"/>
    <cellStyle name="20% - Accent4 2 2 4 2" xfId="1827" xr:uid="{00000000-0005-0000-0000-00003D040000}"/>
    <cellStyle name="20% - Accent4 2 2 4 3" xfId="3105" xr:uid="{00000000-0005-0000-0000-00003E040000}"/>
    <cellStyle name="20% - Accent4 2 2 4 4" xfId="4392" xr:uid="{00000000-0005-0000-0000-00003F040000}"/>
    <cellStyle name="20% - Accent4 2 2 5" xfId="961" xr:uid="{00000000-0005-0000-0000-000040040000}"/>
    <cellStyle name="20% - Accent4 2 2 5 2" xfId="2253" xr:uid="{00000000-0005-0000-0000-000041040000}"/>
    <cellStyle name="20% - Accent4 2 2 5 3" xfId="3531" xr:uid="{00000000-0005-0000-0000-000042040000}"/>
    <cellStyle name="20% - Accent4 2 2 5 4" xfId="4818" xr:uid="{00000000-0005-0000-0000-000043040000}"/>
    <cellStyle name="20% - Accent4 2 2 6" xfId="1401" xr:uid="{00000000-0005-0000-0000-000044040000}"/>
    <cellStyle name="20% - Accent4 2 2 7" xfId="2679" xr:uid="{00000000-0005-0000-0000-000045040000}"/>
    <cellStyle name="20% - Accent4 2 2 8" xfId="3966" xr:uid="{00000000-0005-0000-0000-000046040000}"/>
    <cellStyle name="20% - Accent4 2 2 9" xfId="5232" xr:uid="{00000000-0005-0000-0000-000047040000}"/>
    <cellStyle name="20% - Accent4 2 3" xfId="115" xr:uid="{00000000-0005-0000-0000-000048040000}"/>
    <cellStyle name="20% - Accent4 2 3 2" xfId="324" xr:uid="{00000000-0005-0000-0000-000049040000}"/>
    <cellStyle name="20% - Accent4 2 3 2 2" xfId="750" xr:uid="{00000000-0005-0000-0000-00004A040000}"/>
    <cellStyle name="20% - Accent4 2 3 2 2 2" xfId="2042" xr:uid="{00000000-0005-0000-0000-00004B040000}"/>
    <cellStyle name="20% - Accent4 2 3 2 2 3" xfId="3320" xr:uid="{00000000-0005-0000-0000-00004C040000}"/>
    <cellStyle name="20% - Accent4 2 3 2 2 4" xfId="4607" xr:uid="{00000000-0005-0000-0000-00004D040000}"/>
    <cellStyle name="20% - Accent4 2 3 2 3" xfId="1176" xr:uid="{00000000-0005-0000-0000-00004E040000}"/>
    <cellStyle name="20% - Accent4 2 3 2 3 2" xfId="2468" xr:uid="{00000000-0005-0000-0000-00004F040000}"/>
    <cellStyle name="20% - Accent4 2 3 2 3 3" xfId="3746" xr:uid="{00000000-0005-0000-0000-000050040000}"/>
    <cellStyle name="20% - Accent4 2 3 2 3 4" xfId="5033" xr:uid="{00000000-0005-0000-0000-000051040000}"/>
    <cellStyle name="20% - Accent4 2 3 2 4" xfId="1616" xr:uid="{00000000-0005-0000-0000-000052040000}"/>
    <cellStyle name="20% - Accent4 2 3 2 5" xfId="2894" xr:uid="{00000000-0005-0000-0000-000053040000}"/>
    <cellStyle name="20% - Accent4 2 3 2 6" xfId="4181" xr:uid="{00000000-0005-0000-0000-000054040000}"/>
    <cellStyle name="20% - Accent4 2 3 3" xfId="537" xr:uid="{00000000-0005-0000-0000-000055040000}"/>
    <cellStyle name="20% - Accent4 2 3 3 2" xfId="1829" xr:uid="{00000000-0005-0000-0000-000056040000}"/>
    <cellStyle name="20% - Accent4 2 3 3 3" xfId="3107" xr:uid="{00000000-0005-0000-0000-000057040000}"/>
    <cellStyle name="20% - Accent4 2 3 3 4" xfId="4394" xr:uid="{00000000-0005-0000-0000-000058040000}"/>
    <cellStyle name="20% - Accent4 2 3 4" xfId="963" xr:uid="{00000000-0005-0000-0000-000059040000}"/>
    <cellStyle name="20% - Accent4 2 3 4 2" xfId="2255" xr:uid="{00000000-0005-0000-0000-00005A040000}"/>
    <cellStyle name="20% - Accent4 2 3 4 3" xfId="3533" xr:uid="{00000000-0005-0000-0000-00005B040000}"/>
    <cellStyle name="20% - Accent4 2 3 4 4" xfId="4820" xr:uid="{00000000-0005-0000-0000-00005C040000}"/>
    <cellStyle name="20% - Accent4 2 3 5" xfId="1403" xr:uid="{00000000-0005-0000-0000-00005D040000}"/>
    <cellStyle name="20% - Accent4 2 3 6" xfId="2681" xr:uid="{00000000-0005-0000-0000-00005E040000}"/>
    <cellStyle name="20% - Accent4 2 3 7" xfId="3968" xr:uid="{00000000-0005-0000-0000-00005F040000}"/>
    <cellStyle name="20% - Accent4 2 3 8" xfId="5234" xr:uid="{00000000-0005-0000-0000-000060040000}"/>
    <cellStyle name="20% - Accent4 2 4" xfId="116" xr:uid="{00000000-0005-0000-0000-000061040000}"/>
    <cellStyle name="20% - Accent4 2 4 2" xfId="325" xr:uid="{00000000-0005-0000-0000-000062040000}"/>
    <cellStyle name="20% - Accent4 2 4 2 2" xfId="751" xr:uid="{00000000-0005-0000-0000-000063040000}"/>
    <cellStyle name="20% - Accent4 2 4 2 2 2" xfId="2043" xr:uid="{00000000-0005-0000-0000-000064040000}"/>
    <cellStyle name="20% - Accent4 2 4 2 2 3" xfId="3321" xr:uid="{00000000-0005-0000-0000-000065040000}"/>
    <cellStyle name="20% - Accent4 2 4 2 2 4" xfId="4608" xr:uid="{00000000-0005-0000-0000-000066040000}"/>
    <cellStyle name="20% - Accent4 2 4 2 3" xfId="1177" xr:uid="{00000000-0005-0000-0000-000067040000}"/>
    <cellStyle name="20% - Accent4 2 4 2 3 2" xfId="2469" xr:uid="{00000000-0005-0000-0000-000068040000}"/>
    <cellStyle name="20% - Accent4 2 4 2 3 3" xfId="3747" xr:uid="{00000000-0005-0000-0000-000069040000}"/>
    <cellStyle name="20% - Accent4 2 4 2 3 4" xfId="5034" xr:uid="{00000000-0005-0000-0000-00006A040000}"/>
    <cellStyle name="20% - Accent4 2 4 2 4" xfId="1617" xr:uid="{00000000-0005-0000-0000-00006B040000}"/>
    <cellStyle name="20% - Accent4 2 4 2 5" xfId="2895" xr:uid="{00000000-0005-0000-0000-00006C040000}"/>
    <cellStyle name="20% - Accent4 2 4 2 6" xfId="4182" xr:uid="{00000000-0005-0000-0000-00006D040000}"/>
    <cellStyle name="20% - Accent4 2 4 3" xfId="538" xr:uid="{00000000-0005-0000-0000-00006E040000}"/>
    <cellStyle name="20% - Accent4 2 4 3 2" xfId="1830" xr:uid="{00000000-0005-0000-0000-00006F040000}"/>
    <cellStyle name="20% - Accent4 2 4 3 3" xfId="3108" xr:uid="{00000000-0005-0000-0000-000070040000}"/>
    <cellStyle name="20% - Accent4 2 4 3 4" xfId="4395" xr:uid="{00000000-0005-0000-0000-000071040000}"/>
    <cellStyle name="20% - Accent4 2 4 4" xfId="964" xr:uid="{00000000-0005-0000-0000-000072040000}"/>
    <cellStyle name="20% - Accent4 2 4 4 2" xfId="2256" xr:uid="{00000000-0005-0000-0000-000073040000}"/>
    <cellStyle name="20% - Accent4 2 4 4 3" xfId="3534" xr:uid="{00000000-0005-0000-0000-000074040000}"/>
    <cellStyle name="20% - Accent4 2 4 4 4" xfId="4821" xr:uid="{00000000-0005-0000-0000-000075040000}"/>
    <cellStyle name="20% - Accent4 2 4 5" xfId="1404" xr:uid="{00000000-0005-0000-0000-000076040000}"/>
    <cellStyle name="20% - Accent4 2 4 6" xfId="2682" xr:uid="{00000000-0005-0000-0000-000077040000}"/>
    <cellStyle name="20% - Accent4 2 4 7" xfId="3969" xr:uid="{00000000-0005-0000-0000-000078040000}"/>
    <cellStyle name="20% - Accent4 2 5" xfId="117" xr:uid="{00000000-0005-0000-0000-000079040000}"/>
    <cellStyle name="20% - Accent4 2 5 2" xfId="326" xr:uid="{00000000-0005-0000-0000-00007A040000}"/>
    <cellStyle name="20% - Accent4 2 5 2 2" xfId="752" xr:uid="{00000000-0005-0000-0000-00007B040000}"/>
    <cellStyle name="20% - Accent4 2 5 2 2 2" xfId="2044" xr:uid="{00000000-0005-0000-0000-00007C040000}"/>
    <cellStyle name="20% - Accent4 2 5 2 2 3" xfId="3322" xr:uid="{00000000-0005-0000-0000-00007D040000}"/>
    <cellStyle name="20% - Accent4 2 5 2 2 4" xfId="4609" xr:uid="{00000000-0005-0000-0000-00007E040000}"/>
    <cellStyle name="20% - Accent4 2 5 2 3" xfId="1178" xr:uid="{00000000-0005-0000-0000-00007F040000}"/>
    <cellStyle name="20% - Accent4 2 5 2 3 2" xfId="2470" xr:uid="{00000000-0005-0000-0000-000080040000}"/>
    <cellStyle name="20% - Accent4 2 5 2 3 3" xfId="3748" xr:uid="{00000000-0005-0000-0000-000081040000}"/>
    <cellStyle name="20% - Accent4 2 5 2 3 4" xfId="5035" xr:uid="{00000000-0005-0000-0000-000082040000}"/>
    <cellStyle name="20% - Accent4 2 5 2 4" xfId="1618" xr:uid="{00000000-0005-0000-0000-000083040000}"/>
    <cellStyle name="20% - Accent4 2 5 2 5" xfId="2896" xr:uid="{00000000-0005-0000-0000-000084040000}"/>
    <cellStyle name="20% - Accent4 2 5 2 6" xfId="4183" xr:uid="{00000000-0005-0000-0000-000085040000}"/>
    <cellStyle name="20% - Accent4 2 5 3" xfId="539" xr:uid="{00000000-0005-0000-0000-000086040000}"/>
    <cellStyle name="20% - Accent4 2 5 3 2" xfId="1831" xr:uid="{00000000-0005-0000-0000-000087040000}"/>
    <cellStyle name="20% - Accent4 2 5 3 3" xfId="3109" xr:uid="{00000000-0005-0000-0000-000088040000}"/>
    <cellStyle name="20% - Accent4 2 5 3 4" xfId="4396" xr:uid="{00000000-0005-0000-0000-000089040000}"/>
    <cellStyle name="20% - Accent4 2 5 4" xfId="965" xr:uid="{00000000-0005-0000-0000-00008A040000}"/>
    <cellStyle name="20% - Accent4 2 5 4 2" xfId="2257" xr:uid="{00000000-0005-0000-0000-00008B040000}"/>
    <cellStyle name="20% - Accent4 2 5 4 3" xfId="3535" xr:uid="{00000000-0005-0000-0000-00008C040000}"/>
    <cellStyle name="20% - Accent4 2 5 4 4" xfId="4822" xr:uid="{00000000-0005-0000-0000-00008D040000}"/>
    <cellStyle name="20% - Accent4 2 5 5" xfId="1405" xr:uid="{00000000-0005-0000-0000-00008E040000}"/>
    <cellStyle name="20% - Accent4 2 5 6" xfId="2683" xr:uid="{00000000-0005-0000-0000-00008F040000}"/>
    <cellStyle name="20% - Accent4 2 5 7" xfId="3970" xr:uid="{00000000-0005-0000-0000-000090040000}"/>
    <cellStyle name="20% - Accent4 2 6" xfId="275" xr:uid="{00000000-0005-0000-0000-000091040000}"/>
    <cellStyle name="20% - Accent4 2 6 2" xfId="488" xr:uid="{00000000-0005-0000-0000-000092040000}"/>
    <cellStyle name="20% - Accent4 2 6 2 2" xfId="913" xr:uid="{00000000-0005-0000-0000-000093040000}"/>
    <cellStyle name="20% - Accent4 2 6 2 2 2" xfId="2205" xr:uid="{00000000-0005-0000-0000-000094040000}"/>
    <cellStyle name="20% - Accent4 2 6 2 2 3" xfId="3483" xr:uid="{00000000-0005-0000-0000-000095040000}"/>
    <cellStyle name="20% - Accent4 2 6 2 2 4" xfId="4770" xr:uid="{00000000-0005-0000-0000-000096040000}"/>
    <cellStyle name="20% - Accent4 2 6 2 3" xfId="1339" xr:uid="{00000000-0005-0000-0000-000097040000}"/>
    <cellStyle name="20% - Accent4 2 6 2 3 2" xfId="2631" xr:uid="{00000000-0005-0000-0000-000098040000}"/>
    <cellStyle name="20% - Accent4 2 6 2 3 3" xfId="3909" xr:uid="{00000000-0005-0000-0000-000099040000}"/>
    <cellStyle name="20% - Accent4 2 6 2 3 4" xfId="5196" xr:uid="{00000000-0005-0000-0000-00009A040000}"/>
    <cellStyle name="20% - Accent4 2 6 2 4" xfId="1779" xr:uid="{00000000-0005-0000-0000-00009B040000}"/>
    <cellStyle name="20% - Accent4 2 6 2 5" xfId="3057" xr:uid="{00000000-0005-0000-0000-00009C040000}"/>
    <cellStyle name="20% - Accent4 2 6 2 6" xfId="4344" xr:uid="{00000000-0005-0000-0000-00009D040000}"/>
    <cellStyle name="20% - Accent4 2 6 3" xfId="700" xr:uid="{00000000-0005-0000-0000-00009E040000}"/>
    <cellStyle name="20% - Accent4 2 6 3 2" xfId="1992" xr:uid="{00000000-0005-0000-0000-00009F040000}"/>
    <cellStyle name="20% - Accent4 2 6 3 3" xfId="3270" xr:uid="{00000000-0005-0000-0000-0000A0040000}"/>
    <cellStyle name="20% - Accent4 2 6 3 4" xfId="4557" xr:uid="{00000000-0005-0000-0000-0000A1040000}"/>
    <cellStyle name="20% - Accent4 2 6 4" xfId="1126" xr:uid="{00000000-0005-0000-0000-0000A2040000}"/>
    <cellStyle name="20% - Accent4 2 6 4 2" xfId="2418" xr:uid="{00000000-0005-0000-0000-0000A3040000}"/>
    <cellStyle name="20% - Accent4 2 6 4 3" xfId="3696" xr:uid="{00000000-0005-0000-0000-0000A4040000}"/>
    <cellStyle name="20% - Accent4 2 6 4 4" xfId="4983" xr:uid="{00000000-0005-0000-0000-0000A5040000}"/>
    <cellStyle name="20% - Accent4 2 6 5" xfId="1566" xr:uid="{00000000-0005-0000-0000-0000A6040000}"/>
    <cellStyle name="20% - Accent4 2 6 6" xfId="2844" xr:uid="{00000000-0005-0000-0000-0000A7040000}"/>
    <cellStyle name="20% - Accent4 2 6 7" xfId="4131" xr:uid="{00000000-0005-0000-0000-0000A8040000}"/>
    <cellStyle name="20% - Accent4 2 7" xfId="321" xr:uid="{00000000-0005-0000-0000-0000A9040000}"/>
    <cellStyle name="20% - Accent4 2 7 2" xfId="747" xr:uid="{00000000-0005-0000-0000-0000AA040000}"/>
    <cellStyle name="20% - Accent4 2 7 2 2" xfId="2039" xr:uid="{00000000-0005-0000-0000-0000AB040000}"/>
    <cellStyle name="20% - Accent4 2 7 2 3" xfId="3317" xr:uid="{00000000-0005-0000-0000-0000AC040000}"/>
    <cellStyle name="20% - Accent4 2 7 2 4" xfId="4604" xr:uid="{00000000-0005-0000-0000-0000AD040000}"/>
    <cellStyle name="20% - Accent4 2 7 3" xfId="1173" xr:uid="{00000000-0005-0000-0000-0000AE040000}"/>
    <cellStyle name="20% - Accent4 2 7 3 2" xfId="2465" xr:uid="{00000000-0005-0000-0000-0000AF040000}"/>
    <cellStyle name="20% - Accent4 2 7 3 3" xfId="3743" xr:uid="{00000000-0005-0000-0000-0000B0040000}"/>
    <cellStyle name="20% - Accent4 2 7 3 4" xfId="5030" xr:uid="{00000000-0005-0000-0000-0000B1040000}"/>
    <cellStyle name="20% - Accent4 2 7 4" xfId="1613" xr:uid="{00000000-0005-0000-0000-0000B2040000}"/>
    <cellStyle name="20% - Accent4 2 7 5" xfId="2891" xr:uid="{00000000-0005-0000-0000-0000B3040000}"/>
    <cellStyle name="20% - Accent4 2 7 6" xfId="4178" xr:uid="{00000000-0005-0000-0000-0000B4040000}"/>
    <cellStyle name="20% - Accent4 2 8" xfId="534" xr:uid="{00000000-0005-0000-0000-0000B5040000}"/>
    <cellStyle name="20% - Accent4 2 8 2" xfId="1826" xr:uid="{00000000-0005-0000-0000-0000B6040000}"/>
    <cellStyle name="20% - Accent4 2 8 3" xfId="3104" xr:uid="{00000000-0005-0000-0000-0000B7040000}"/>
    <cellStyle name="20% - Accent4 2 8 4" xfId="4391" xr:uid="{00000000-0005-0000-0000-0000B8040000}"/>
    <cellStyle name="20% - Accent4 2 9" xfId="960" xr:uid="{00000000-0005-0000-0000-0000B9040000}"/>
    <cellStyle name="20% - Accent4 2 9 2" xfId="2252" xr:uid="{00000000-0005-0000-0000-0000BA040000}"/>
    <cellStyle name="20% - Accent4 2 9 3" xfId="3530" xr:uid="{00000000-0005-0000-0000-0000BB040000}"/>
    <cellStyle name="20% - Accent4 2 9 4" xfId="4817" xr:uid="{00000000-0005-0000-0000-0000BC040000}"/>
    <cellStyle name="20% - Accent4 3" xfId="118" xr:uid="{00000000-0005-0000-0000-0000BD040000}"/>
    <cellStyle name="20% - Accent4 3 2" xfId="119" xr:uid="{00000000-0005-0000-0000-0000BE040000}"/>
    <cellStyle name="20% - Accent4 3 2 2" xfId="328" xr:uid="{00000000-0005-0000-0000-0000BF040000}"/>
    <cellStyle name="20% - Accent4 3 2 2 2" xfId="754" xr:uid="{00000000-0005-0000-0000-0000C0040000}"/>
    <cellStyle name="20% - Accent4 3 2 2 2 2" xfId="2046" xr:uid="{00000000-0005-0000-0000-0000C1040000}"/>
    <cellStyle name="20% - Accent4 3 2 2 2 3" xfId="3324" xr:uid="{00000000-0005-0000-0000-0000C2040000}"/>
    <cellStyle name="20% - Accent4 3 2 2 2 4" xfId="4611" xr:uid="{00000000-0005-0000-0000-0000C3040000}"/>
    <cellStyle name="20% - Accent4 3 2 2 3" xfId="1180" xr:uid="{00000000-0005-0000-0000-0000C4040000}"/>
    <cellStyle name="20% - Accent4 3 2 2 3 2" xfId="2472" xr:uid="{00000000-0005-0000-0000-0000C5040000}"/>
    <cellStyle name="20% - Accent4 3 2 2 3 3" xfId="3750" xr:uid="{00000000-0005-0000-0000-0000C6040000}"/>
    <cellStyle name="20% - Accent4 3 2 2 3 4" xfId="5037" xr:uid="{00000000-0005-0000-0000-0000C7040000}"/>
    <cellStyle name="20% - Accent4 3 2 2 4" xfId="1620" xr:uid="{00000000-0005-0000-0000-0000C8040000}"/>
    <cellStyle name="20% - Accent4 3 2 2 5" xfId="2898" xr:uid="{00000000-0005-0000-0000-0000C9040000}"/>
    <cellStyle name="20% - Accent4 3 2 2 6" xfId="4185" xr:uid="{00000000-0005-0000-0000-0000CA040000}"/>
    <cellStyle name="20% - Accent4 3 2 3" xfId="541" xr:uid="{00000000-0005-0000-0000-0000CB040000}"/>
    <cellStyle name="20% - Accent4 3 2 3 2" xfId="1833" xr:uid="{00000000-0005-0000-0000-0000CC040000}"/>
    <cellStyle name="20% - Accent4 3 2 3 3" xfId="3111" xr:uid="{00000000-0005-0000-0000-0000CD040000}"/>
    <cellStyle name="20% - Accent4 3 2 3 4" xfId="4398" xr:uid="{00000000-0005-0000-0000-0000CE040000}"/>
    <cellStyle name="20% - Accent4 3 2 4" xfId="967" xr:uid="{00000000-0005-0000-0000-0000CF040000}"/>
    <cellStyle name="20% - Accent4 3 2 4 2" xfId="2259" xr:uid="{00000000-0005-0000-0000-0000D0040000}"/>
    <cellStyle name="20% - Accent4 3 2 4 3" xfId="3537" xr:uid="{00000000-0005-0000-0000-0000D1040000}"/>
    <cellStyle name="20% - Accent4 3 2 4 4" xfId="4824" xr:uid="{00000000-0005-0000-0000-0000D2040000}"/>
    <cellStyle name="20% - Accent4 3 2 5" xfId="1407" xr:uid="{00000000-0005-0000-0000-0000D3040000}"/>
    <cellStyle name="20% - Accent4 3 2 6" xfId="2685" xr:uid="{00000000-0005-0000-0000-0000D4040000}"/>
    <cellStyle name="20% - Accent4 3 2 7" xfId="3972" xr:uid="{00000000-0005-0000-0000-0000D5040000}"/>
    <cellStyle name="20% - Accent4 3 2 8" xfId="5236" xr:uid="{00000000-0005-0000-0000-0000D6040000}"/>
    <cellStyle name="20% - Accent4 3 3" xfId="327" xr:uid="{00000000-0005-0000-0000-0000D7040000}"/>
    <cellStyle name="20% - Accent4 3 3 2" xfId="753" xr:uid="{00000000-0005-0000-0000-0000D8040000}"/>
    <cellStyle name="20% - Accent4 3 3 2 2" xfId="2045" xr:uid="{00000000-0005-0000-0000-0000D9040000}"/>
    <cellStyle name="20% - Accent4 3 3 2 3" xfId="3323" xr:uid="{00000000-0005-0000-0000-0000DA040000}"/>
    <cellStyle name="20% - Accent4 3 3 2 4" xfId="4610" xr:uid="{00000000-0005-0000-0000-0000DB040000}"/>
    <cellStyle name="20% - Accent4 3 3 3" xfId="1179" xr:uid="{00000000-0005-0000-0000-0000DC040000}"/>
    <cellStyle name="20% - Accent4 3 3 3 2" xfId="2471" xr:uid="{00000000-0005-0000-0000-0000DD040000}"/>
    <cellStyle name="20% - Accent4 3 3 3 3" xfId="3749" xr:uid="{00000000-0005-0000-0000-0000DE040000}"/>
    <cellStyle name="20% - Accent4 3 3 3 4" xfId="5036" xr:uid="{00000000-0005-0000-0000-0000DF040000}"/>
    <cellStyle name="20% - Accent4 3 3 4" xfId="1619" xr:uid="{00000000-0005-0000-0000-0000E0040000}"/>
    <cellStyle name="20% - Accent4 3 3 5" xfId="2897" xr:uid="{00000000-0005-0000-0000-0000E1040000}"/>
    <cellStyle name="20% - Accent4 3 3 6" xfId="4184" xr:uid="{00000000-0005-0000-0000-0000E2040000}"/>
    <cellStyle name="20% - Accent4 3 4" xfId="540" xr:uid="{00000000-0005-0000-0000-0000E3040000}"/>
    <cellStyle name="20% - Accent4 3 4 2" xfId="1832" xr:uid="{00000000-0005-0000-0000-0000E4040000}"/>
    <cellStyle name="20% - Accent4 3 4 3" xfId="3110" xr:uid="{00000000-0005-0000-0000-0000E5040000}"/>
    <cellStyle name="20% - Accent4 3 4 4" xfId="4397" xr:uid="{00000000-0005-0000-0000-0000E6040000}"/>
    <cellStyle name="20% - Accent4 3 5" xfId="966" xr:uid="{00000000-0005-0000-0000-0000E7040000}"/>
    <cellStyle name="20% - Accent4 3 5 2" xfId="2258" xr:uid="{00000000-0005-0000-0000-0000E8040000}"/>
    <cellStyle name="20% - Accent4 3 5 3" xfId="3536" xr:uid="{00000000-0005-0000-0000-0000E9040000}"/>
    <cellStyle name="20% - Accent4 3 5 4" xfId="4823" xr:uid="{00000000-0005-0000-0000-0000EA040000}"/>
    <cellStyle name="20% - Accent4 3 6" xfId="1406" xr:uid="{00000000-0005-0000-0000-0000EB040000}"/>
    <cellStyle name="20% - Accent4 3 7" xfId="2684" xr:uid="{00000000-0005-0000-0000-0000EC040000}"/>
    <cellStyle name="20% - Accent4 3 8" xfId="3971" xr:uid="{00000000-0005-0000-0000-0000ED040000}"/>
    <cellStyle name="20% - Accent4 3 9" xfId="5235" xr:uid="{00000000-0005-0000-0000-0000EE040000}"/>
    <cellStyle name="20% - Accent4 4" xfId="120" xr:uid="{00000000-0005-0000-0000-0000EF040000}"/>
    <cellStyle name="20% - Accent4 4 2" xfId="329" xr:uid="{00000000-0005-0000-0000-0000F0040000}"/>
    <cellStyle name="20% - Accent4 4 2 2" xfId="755" xr:uid="{00000000-0005-0000-0000-0000F1040000}"/>
    <cellStyle name="20% - Accent4 4 2 2 2" xfId="2047" xr:uid="{00000000-0005-0000-0000-0000F2040000}"/>
    <cellStyle name="20% - Accent4 4 2 2 3" xfId="3325" xr:uid="{00000000-0005-0000-0000-0000F3040000}"/>
    <cellStyle name="20% - Accent4 4 2 2 4" xfId="4612" xr:uid="{00000000-0005-0000-0000-0000F4040000}"/>
    <cellStyle name="20% - Accent4 4 2 3" xfId="1181" xr:uid="{00000000-0005-0000-0000-0000F5040000}"/>
    <cellStyle name="20% - Accent4 4 2 3 2" xfId="2473" xr:uid="{00000000-0005-0000-0000-0000F6040000}"/>
    <cellStyle name="20% - Accent4 4 2 3 3" xfId="3751" xr:uid="{00000000-0005-0000-0000-0000F7040000}"/>
    <cellStyle name="20% - Accent4 4 2 3 4" xfId="5038" xr:uid="{00000000-0005-0000-0000-0000F8040000}"/>
    <cellStyle name="20% - Accent4 4 2 4" xfId="1621" xr:uid="{00000000-0005-0000-0000-0000F9040000}"/>
    <cellStyle name="20% - Accent4 4 2 5" xfId="2899" xr:uid="{00000000-0005-0000-0000-0000FA040000}"/>
    <cellStyle name="20% - Accent4 4 2 6" xfId="4186" xr:uid="{00000000-0005-0000-0000-0000FB040000}"/>
    <cellStyle name="20% - Accent4 4 3" xfId="542" xr:uid="{00000000-0005-0000-0000-0000FC040000}"/>
    <cellStyle name="20% - Accent4 4 3 2" xfId="1834" xr:uid="{00000000-0005-0000-0000-0000FD040000}"/>
    <cellStyle name="20% - Accent4 4 3 3" xfId="3112" xr:uid="{00000000-0005-0000-0000-0000FE040000}"/>
    <cellStyle name="20% - Accent4 4 3 4" xfId="4399" xr:uid="{00000000-0005-0000-0000-0000FF040000}"/>
    <cellStyle name="20% - Accent4 4 4" xfId="968" xr:uid="{00000000-0005-0000-0000-000000050000}"/>
    <cellStyle name="20% - Accent4 4 4 2" xfId="2260" xr:uid="{00000000-0005-0000-0000-000001050000}"/>
    <cellStyle name="20% - Accent4 4 4 3" xfId="3538" xr:uid="{00000000-0005-0000-0000-000002050000}"/>
    <cellStyle name="20% - Accent4 4 4 4" xfId="4825" xr:uid="{00000000-0005-0000-0000-000003050000}"/>
    <cellStyle name="20% - Accent4 4 5" xfId="1408" xr:uid="{00000000-0005-0000-0000-000004050000}"/>
    <cellStyle name="20% - Accent4 4 6" xfId="2686" xr:uid="{00000000-0005-0000-0000-000005050000}"/>
    <cellStyle name="20% - Accent4 4 7" xfId="3973" xr:uid="{00000000-0005-0000-0000-000006050000}"/>
    <cellStyle name="20% - Accent4 4 8" xfId="5237" xr:uid="{00000000-0005-0000-0000-000007050000}"/>
    <cellStyle name="20% - Accent4 5" xfId="121" xr:uid="{00000000-0005-0000-0000-000008050000}"/>
    <cellStyle name="20% - Accent4 5 2" xfId="330" xr:uid="{00000000-0005-0000-0000-000009050000}"/>
    <cellStyle name="20% - Accent4 5 2 2" xfId="756" xr:uid="{00000000-0005-0000-0000-00000A050000}"/>
    <cellStyle name="20% - Accent4 5 2 2 2" xfId="2048" xr:uid="{00000000-0005-0000-0000-00000B050000}"/>
    <cellStyle name="20% - Accent4 5 2 2 3" xfId="3326" xr:uid="{00000000-0005-0000-0000-00000C050000}"/>
    <cellStyle name="20% - Accent4 5 2 2 4" xfId="4613" xr:uid="{00000000-0005-0000-0000-00000D050000}"/>
    <cellStyle name="20% - Accent4 5 2 3" xfId="1182" xr:uid="{00000000-0005-0000-0000-00000E050000}"/>
    <cellStyle name="20% - Accent4 5 2 3 2" xfId="2474" xr:uid="{00000000-0005-0000-0000-00000F050000}"/>
    <cellStyle name="20% - Accent4 5 2 3 3" xfId="3752" xr:uid="{00000000-0005-0000-0000-000010050000}"/>
    <cellStyle name="20% - Accent4 5 2 3 4" xfId="5039" xr:uid="{00000000-0005-0000-0000-000011050000}"/>
    <cellStyle name="20% - Accent4 5 2 4" xfId="1622" xr:uid="{00000000-0005-0000-0000-000012050000}"/>
    <cellStyle name="20% - Accent4 5 2 5" xfId="2900" xr:uid="{00000000-0005-0000-0000-000013050000}"/>
    <cellStyle name="20% - Accent4 5 2 6" xfId="4187" xr:uid="{00000000-0005-0000-0000-000014050000}"/>
    <cellStyle name="20% - Accent4 5 3" xfId="543" xr:uid="{00000000-0005-0000-0000-000015050000}"/>
    <cellStyle name="20% - Accent4 5 3 2" xfId="1835" xr:uid="{00000000-0005-0000-0000-000016050000}"/>
    <cellStyle name="20% - Accent4 5 3 3" xfId="3113" xr:uid="{00000000-0005-0000-0000-000017050000}"/>
    <cellStyle name="20% - Accent4 5 3 4" xfId="4400" xr:uid="{00000000-0005-0000-0000-000018050000}"/>
    <cellStyle name="20% - Accent4 5 4" xfId="969" xr:uid="{00000000-0005-0000-0000-000019050000}"/>
    <cellStyle name="20% - Accent4 5 4 2" xfId="2261" xr:uid="{00000000-0005-0000-0000-00001A050000}"/>
    <cellStyle name="20% - Accent4 5 4 3" xfId="3539" xr:uid="{00000000-0005-0000-0000-00001B050000}"/>
    <cellStyle name="20% - Accent4 5 4 4" xfId="4826" xr:uid="{00000000-0005-0000-0000-00001C050000}"/>
    <cellStyle name="20% - Accent4 5 5" xfId="1409" xr:uid="{00000000-0005-0000-0000-00001D050000}"/>
    <cellStyle name="20% - Accent4 5 6" xfId="2687" xr:uid="{00000000-0005-0000-0000-00001E050000}"/>
    <cellStyle name="20% - Accent4 5 7" xfId="3974" xr:uid="{00000000-0005-0000-0000-00001F050000}"/>
    <cellStyle name="20% - Accent4 6" xfId="122" xr:uid="{00000000-0005-0000-0000-000020050000}"/>
    <cellStyle name="20% - Accent4 6 2" xfId="331" xr:uid="{00000000-0005-0000-0000-000021050000}"/>
    <cellStyle name="20% - Accent4 6 2 2" xfId="757" xr:uid="{00000000-0005-0000-0000-000022050000}"/>
    <cellStyle name="20% - Accent4 6 2 2 2" xfId="2049" xr:uid="{00000000-0005-0000-0000-000023050000}"/>
    <cellStyle name="20% - Accent4 6 2 2 3" xfId="3327" xr:uid="{00000000-0005-0000-0000-000024050000}"/>
    <cellStyle name="20% - Accent4 6 2 2 4" xfId="4614" xr:uid="{00000000-0005-0000-0000-000025050000}"/>
    <cellStyle name="20% - Accent4 6 2 3" xfId="1183" xr:uid="{00000000-0005-0000-0000-000026050000}"/>
    <cellStyle name="20% - Accent4 6 2 3 2" xfId="2475" xr:uid="{00000000-0005-0000-0000-000027050000}"/>
    <cellStyle name="20% - Accent4 6 2 3 3" xfId="3753" xr:uid="{00000000-0005-0000-0000-000028050000}"/>
    <cellStyle name="20% - Accent4 6 2 3 4" xfId="5040" xr:uid="{00000000-0005-0000-0000-000029050000}"/>
    <cellStyle name="20% - Accent4 6 2 4" xfId="1623" xr:uid="{00000000-0005-0000-0000-00002A050000}"/>
    <cellStyle name="20% - Accent4 6 2 5" xfId="2901" xr:uid="{00000000-0005-0000-0000-00002B050000}"/>
    <cellStyle name="20% - Accent4 6 2 6" xfId="4188" xr:uid="{00000000-0005-0000-0000-00002C050000}"/>
    <cellStyle name="20% - Accent4 6 3" xfId="544" xr:uid="{00000000-0005-0000-0000-00002D050000}"/>
    <cellStyle name="20% - Accent4 6 3 2" xfId="1836" xr:uid="{00000000-0005-0000-0000-00002E050000}"/>
    <cellStyle name="20% - Accent4 6 3 3" xfId="3114" xr:uid="{00000000-0005-0000-0000-00002F050000}"/>
    <cellStyle name="20% - Accent4 6 3 4" xfId="4401" xr:uid="{00000000-0005-0000-0000-000030050000}"/>
    <cellStyle name="20% - Accent4 6 4" xfId="970" xr:uid="{00000000-0005-0000-0000-000031050000}"/>
    <cellStyle name="20% - Accent4 6 4 2" xfId="2262" xr:uid="{00000000-0005-0000-0000-000032050000}"/>
    <cellStyle name="20% - Accent4 6 4 3" xfId="3540" xr:uid="{00000000-0005-0000-0000-000033050000}"/>
    <cellStyle name="20% - Accent4 6 4 4" xfId="4827" xr:uid="{00000000-0005-0000-0000-000034050000}"/>
    <cellStyle name="20% - Accent4 6 5" xfId="1410" xr:uid="{00000000-0005-0000-0000-000035050000}"/>
    <cellStyle name="20% - Accent4 6 6" xfId="2688" xr:uid="{00000000-0005-0000-0000-000036050000}"/>
    <cellStyle name="20% - Accent4 6 7" xfId="3975" xr:uid="{00000000-0005-0000-0000-000037050000}"/>
    <cellStyle name="20% - Accent4 7" xfId="257" xr:uid="{00000000-0005-0000-0000-000038050000}"/>
    <cellStyle name="20% - Accent4 7 2" xfId="470" xr:uid="{00000000-0005-0000-0000-000039050000}"/>
    <cellStyle name="20% - Accent4 7 2 2" xfId="895" xr:uid="{00000000-0005-0000-0000-00003A050000}"/>
    <cellStyle name="20% - Accent4 7 2 2 2" xfId="2187" xr:uid="{00000000-0005-0000-0000-00003B050000}"/>
    <cellStyle name="20% - Accent4 7 2 2 3" xfId="3465" xr:uid="{00000000-0005-0000-0000-00003C050000}"/>
    <cellStyle name="20% - Accent4 7 2 2 4" xfId="4752" xr:uid="{00000000-0005-0000-0000-00003D050000}"/>
    <cellStyle name="20% - Accent4 7 2 3" xfId="1321" xr:uid="{00000000-0005-0000-0000-00003E050000}"/>
    <cellStyle name="20% - Accent4 7 2 3 2" xfId="2613" xr:uid="{00000000-0005-0000-0000-00003F050000}"/>
    <cellStyle name="20% - Accent4 7 2 3 3" xfId="3891" xr:uid="{00000000-0005-0000-0000-000040050000}"/>
    <cellStyle name="20% - Accent4 7 2 3 4" xfId="5178" xr:uid="{00000000-0005-0000-0000-000041050000}"/>
    <cellStyle name="20% - Accent4 7 2 4" xfId="1761" xr:uid="{00000000-0005-0000-0000-000042050000}"/>
    <cellStyle name="20% - Accent4 7 2 5" xfId="3039" xr:uid="{00000000-0005-0000-0000-000043050000}"/>
    <cellStyle name="20% - Accent4 7 2 6" xfId="4326" xr:uid="{00000000-0005-0000-0000-000044050000}"/>
    <cellStyle name="20% - Accent4 7 3" xfId="682" xr:uid="{00000000-0005-0000-0000-000045050000}"/>
    <cellStyle name="20% - Accent4 7 3 2" xfId="1974" xr:uid="{00000000-0005-0000-0000-000046050000}"/>
    <cellStyle name="20% - Accent4 7 3 3" xfId="3252" xr:uid="{00000000-0005-0000-0000-000047050000}"/>
    <cellStyle name="20% - Accent4 7 3 4" xfId="4539" xr:uid="{00000000-0005-0000-0000-000048050000}"/>
    <cellStyle name="20% - Accent4 7 4" xfId="1108" xr:uid="{00000000-0005-0000-0000-000049050000}"/>
    <cellStyle name="20% - Accent4 7 4 2" xfId="2400" xr:uid="{00000000-0005-0000-0000-00004A050000}"/>
    <cellStyle name="20% - Accent4 7 4 3" xfId="3678" xr:uid="{00000000-0005-0000-0000-00004B050000}"/>
    <cellStyle name="20% - Accent4 7 4 4" xfId="4965" xr:uid="{00000000-0005-0000-0000-00004C050000}"/>
    <cellStyle name="20% - Accent4 7 5" xfId="1548" xr:uid="{00000000-0005-0000-0000-00004D050000}"/>
    <cellStyle name="20% - Accent4 7 6" xfId="2826" xr:uid="{00000000-0005-0000-0000-00004E050000}"/>
    <cellStyle name="20% - Accent4 7 7" xfId="4113" xr:uid="{00000000-0005-0000-0000-00004F050000}"/>
    <cellStyle name="20% - Accent4 8" xfId="320" xr:uid="{00000000-0005-0000-0000-000050050000}"/>
    <cellStyle name="20% - Accent4 8 2" xfId="746" xr:uid="{00000000-0005-0000-0000-000051050000}"/>
    <cellStyle name="20% - Accent4 8 2 2" xfId="2038" xr:uid="{00000000-0005-0000-0000-000052050000}"/>
    <cellStyle name="20% - Accent4 8 2 3" xfId="3316" xr:uid="{00000000-0005-0000-0000-000053050000}"/>
    <cellStyle name="20% - Accent4 8 2 4" xfId="4603" xr:uid="{00000000-0005-0000-0000-000054050000}"/>
    <cellStyle name="20% - Accent4 8 3" xfId="1172" xr:uid="{00000000-0005-0000-0000-000055050000}"/>
    <cellStyle name="20% - Accent4 8 3 2" xfId="2464" xr:uid="{00000000-0005-0000-0000-000056050000}"/>
    <cellStyle name="20% - Accent4 8 3 3" xfId="3742" xr:uid="{00000000-0005-0000-0000-000057050000}"/>
    <cellStyle name="20% - Accent4 8 3 4" xfId="5029" xr:uid="{00000000-0005-0000-0000-000058050000}"/>
    <cellStyle name="20% - Accent4 8 4" xfId="1612" xr:uid="{00000000-0005-0000-0000-000059050000}"/>
    <cellStyle name="20% - Accent4 8 5" xfId="2890" xr:uid="{00000000-0005-0000-0000-00005A050000}"/>
    <cellStyle name="20% - Accent4 8 6" xfId="4177" xr:uid="{00000000-0005-0000-0000-00005B050000}"/>
    <cellStyle name="20% - Accent4 9" xfId="533" xr:uid="{00000000-0005-0000-0000-00005C050000}"/>
    <cellStyle name="20% - Accent4 9 2" xfId="1825" xr:uid="{00000000-0005-0000-0000-00005D050000}"/>
    <cellStyle name="20% - Accent4 9 3" xfId="3103" xr:uid="{00000000-0005-0000-0000-00005E050000}"/>
    <cellStyle name="20% - Accent4 9 4" xfId="4390" xr:uid="{00000000-0005-0000-0000-00005F050000}"/>
    <cellStyle name="20% - Accent5" xfId="73" builtinId="46" customBuiltin="1"/>
    <cellStyle name="20% - Accent5 10" xfId="971" xr:uid="{00000000-0005-0000-0000-000061050000}"/>
    <cellStyle name="20% - Accent5 10 2" xfId="2263" xr:uid="{00000000-0005-0000-0000-000062050000}"/>
    <cellStyle name="20% - Accent5 10 3" xfId="3541" xr:uid="{00000000-0005-0000-0000-000063050000}"/>
    <cellStyle name="20% - Accent5 10 4" xfId="4828" xr:uid="{00000000-0005-0000-0000-000064050000}"/>
    <cellStyle name="20% - Accent5 11" xfId="1411" xr:uid="{00000000-0005-0000-0000-000065050000}"/>
    <cellStyle name="20% - Accent5 12" xfId="2689" xr:uid="{00000000-0005-0000-0000-000066050000}"/>
    <cellStyle name="20% - Accent5 13" xfId="3976" xr:uid="{00000000-0005-0000-0000-000067050000}"/>
    <cellStyle name="20% - Accent5 14" xfId="5238" xr:uid="{00000000-0005-0000-0000-000068050000}"/>
    <cellStyle name="20% - Accent5 2" xfId="14" xr:uid="{00000000-0005-0000-0000-000069050000}"/>
    <cellStyle name="20% - Accent5 2 10" xfId="1412" xr:uid="{00000000-0005-0000-0000-00006A050000}"/>
    <cellStyle name="20% - Accent5 2 11" xfId="2690" xr:uid="{00000000-0005-0000-0000-00006B050000}"/>
    <cellStyle name="20% - Accent5 2 12" xfId="3977" xr:uid="{00000000-0005-0000-0000-00006C050000}"/>
    <cellStyle name="20% - Accent5 2 13" xfId="5239" xr:uid="{00000000-0005-0000-0000-00006D050000}"/>
    <cellStyle name="20% - Accent5 2 2" xfId="123" xr:uid="{00000000-0005-0000-0000-00006E050000}"/>
    <cellStyle name="20% - Accent5 2 2 2" xfId="124" xr:uid="{00000000-0005-0000-0000-00006F050000}"/>
    <cellStyle name="20% - Accent5 2 2 2 2" xfId="335" xr:uid="{00000000-0005-0000-0000-000070050000}"/>
    <cellStyle name="20% - Accent5 2 2 2 2 2" xfId="761" xr:uid="{00000000-0005-0000-0000-000071050000}"/>
    <cellStyle name="20% - Accent5 2 2 2 2 2 2" xfId="2053" xr:uid="{00000000-0005-0000-0000-000072050000}"/>
    <cellStyle name="20% - Accent5 2 2 2 2 2 3" xfId="3331" xr:uid="{00000000-0005-0000-0000-000073050000}"/>
    <cellStyle name="20% - Accent5 2 2 2 2 2 4" xfId="4618" xr:uid="{00000000-0005-0000-0000-000074050000}"/>
    <cellStyle name="20% - Accent5 2 2 2 2 3" xfId="1187" xr:uid="{00000000-0005-0000-0000-000075050000}"/>
    <cellStyle name="20% - Accent5 2 2 2 2 3 2" xfId="2479" xr:uid="{00000000-0005-0000-0000-000076050000}"/>
    <cellStyle name="20% - Accent5 2 2 2 2 3 3" xfId="3757" xr:uid="{00000000-0005-0000-0000-000077050000}"/>
    <cellStyle name="20% - Accent5 2 2 2 2 3 4" xfId="5044" xr:uid="{00000000-0005-0000-0000-000078050000}"/>
    <cellStyle name="20% - Accent5 2 2 2 2 4" xfId="1627" xr:uid="{00000000-0005-0000-0000-000079050000}"/>
    <cellStyle name="20% - Accent5 2 2 2 2 5" xfId="2905" xr:uid="{00000000-0005-0000-0000-00007A050000}"/>
    <cellStyle name="20% - Accent5 2 2 2 2 6" xfId="4192" xr:uid="{00000000-0005-0000-0000-00007B050000}"/>
    <cellStyle name="20% - Accent5 2 2 2 3" xfId="548" xr:uid="{00000000-0005-0000-0000-00007C050000}"/>
    <cellStyle name="20% - Accent5 2 2 2 3 2" xfId="1840" xr:uid="{00000000-0005-0000-0000-00007D050000}"/>
    <cellStyle name="20% - Accent5 2 2 2 3 3" xfId="3118" xr:uid="{00000000-0005-0000-0000-00007E050000}"/>
    <cellStyle name="20% - Accent5 2 2 2 3 4" xfId="4405" xr:uid="{00000000-0005-0000-0000-00007F050000}"/>
    <cellStyle name="20% - Accent5 2 2 2 4" xfId="974" xr:uid="{00000000-0005-0000-0000-000080050000}"/>
    <cellStyle name="20% - Accent5 2 2 2 4 2" xfId="2266" xr:uid="{00000000-0005-0000-0000-000081050000}"/>
    <cellStyle name="20% - Accent5 2 2 2 4 3" xfId="3544" xr:uid="{00000000-0005-0000-0000-000082050000}"/>
    <cellStyle name="20% - Accent5 2 2 2 4 4" xfId="4831" xr:uid="{00000000-0005-0000-0000-000083050000}"/>
    <cellStyle name="20% - Accent5 2 2 2 5" xfId="1414" xr:uid="{00000000-0005-0000-0000-000084050000}"/>
    <cellStyle name="20% - Accent5 2 2 2 6" xfId="2692" xr:uid="{00000000-0005-0000-0000-000085050000}"/>
    <cellStyle name="20% - Accent5 2 2 2 7" xfId="3979" xr:uid="{00000000-0005-0000-0000-000086050000}"/>
    <cellStyle name="20% - Accent5 2 2 2 8" xfId="5241" xr:uid="{00000000-0005-0000-0000-000087050000}"/>
    <cellStyle name="20% - Accent5 2 2 3" xfId="334" xr:uid="{00000000-0005-0000-0000-000088050000}"/>
    <cellStyle name="20% - Accent5 2 2 3 2" xfId="760" xr:uid="{00000000-0005-0000-0000-000089050000}"/>
    <cellStyle name="20% - Accent5 2 2 3 2 2" xfId="2052" xr:uid="{00000000-0005-0000-0000-00008A050000}"/>
    <cellStyle name="20% - Accent5 2 2 3 2 3" xfId="3330" xr:uid="{00000000-0005-0000-0000-00008B050000}"/>
    <cellStyle name="20% - Accent5 2 2 3 2 4" xfId="4617" xr:uid="{00000000-0005-0000-0000-00008C050000}"/>
    <cellStyle name="20% - Accent5 2 2 3 3" xfId="1186" xr:uid="{00000000-0005-0000-0000-00008D050000}"/>
    <cellStyle name="20% - Accent5 2 2 3 3 2" xfId="2478" xr:uid="{00000000-0005-0000-0000-00008E050000}"/>
    <cellStyle name="20% - Accent5 2 2 3 3 3" xfId="3756" xr:uid="{00000000-0005-0000-0000-00008F050000}"/>
    <cellStyle name="20% - Accent5 2 2 3 3 4" xfId="5043" xr:uid="{00000000-0005-0000-0000-000090050000}"/>
    <cellStyle name="20% - Accent5 2 2 3 4" xfId="1626" xr:uid="{00000000-0005-0000-0000-000091050000}"/>
    <cellStyle name="20% - Accent5 2 2 3 5" xfId="2904" xr:uid="{00000000-0005-0000-0000-000092050000}"/>
    <cellStyle name="20% - Accent5 2 2 3 6" xfId="4191" xr:uid="{00000000-0005-0000-0000-000093050000}"/>
    <cellStyle name="20% - Accent5 2 2 4" xfId="547" xr:uid="{00000000-0005-0000-0000-000094050000}"/>
    <cellStyle name="20% - Accent5 2 2 4 2" xfId="1839" xr:uid="{00000000-0005-0000-0000-000095050000}"/>
    <cellStyle name="20% - Accent5 2 2 4 3" xfId="3117" xr:uid="{00000000-0005-0000-0000-000096050000}"/>
    <cellStyle name="20% - Accent5 2 2 4 4" xfId="4404" xr:uid="{00000000-0005-0000-0000-000097050000}"/>
    <cellStyle name="20% - Accent5 2 2 5" xfId="973" xr:uid="{00000000-0005-0000-0000-000098050000}"/>
    <cellStyle name="20% - Accent5 2 2 5 2" xfId="2265" xr:uid="{00000000-0005-0000-0000-000099050000}"/>
    <cellStyle name="20% - Accent5 2 2 5 3" xfId="3543" xr:uid="{00000000-0005-0000-0000-00009A050000}"/>
    <cellStyle name="20% - Accent5 2 2 5 4" xfId="4830" xr:uid="{00000000-0005-0000-0000-00009B050000}"/>
    <cellStyle name="20% - Accent5 2 2 6" xfId="1413" xr:uid="{00000000-0005-0000-0000-00009C050000}"/>
    <cellStyle name="20% - Accent5 2 2 7" xfId="2691" xr:uid="{00000000-0005-0000-0000-00009D050000}"/>
    <cellStyle name="20% - Accent5 2 2 8" xfId="3978" xr:uid="{00000000-0005-0000-0000-00009E050000}"/>
    <cellStyle name="20% - Accent5 2 2 9" xfId="5240" xr:uid="{00000000-0005-0000-0000-00009F050000}"/>
    <cellStyle name="20% - Accent5 2 3" xfId="125" xr:uid="{00000000-0005-0000-0000-0000A0050000}"/>
    <cellStyle name="20% - Accent5 2 3 2" xfId="336" xr:uid="{00000000-0005-0000-0000-0000A1050000}"/>
    <cellStyle name="20% - Accent5 2 3 2 2" xfId="762" xr:uid="{00000000-0005-0000-0000-0000A2050000}"/>
    <cellStyle name="20% - Accent5 2 3 2 2 2" xfId="2054" xr:uid="{00000000-0005-0000-0000-0000A3050000}"/>
    <cellStyle name="20% - Accent5 2 3 2 2 3" xfId="3332" xr:uid="{00000000-0005-0000-0000-0000A4050000}"/>
    <cellStyle name="20% - Accent5 2 3 2 2 4" xfId="4619" xr:uid="{00000000-0005-0000-0000-0000A5050000}"/>
    <cellStyle name="20% - Accent5 2 3 2 3" xfId="1188" xr:uid="{00000000-0005-0000-0000-0000A6050000}"/>
    <cellStyle name="20% - Accent5 2 3 2 3 2" xfId="2480" xr:uid="{00000000-0005-0000-0000-0000A7050000}"/>
    <cellStyle name="20% - Accent5 2 3 2 3 3" xfId="3758" xr:uid="{00000000-0005-0000-0000-0000A8050000}"/>
    <cellStyle name="20% - Accent5 2 3 2 3 4" xfId="5045" xr:uid="{00000000-0005-0000-0000-0000A9050000}"/>
    <cellStyle name="20% - Accent5 2 3 2 4" xfId="1628" xr:uid="{00000000-0005-0000-0000-0000AA050000}"/>
    <cellStyle name="20% - Accent5 2 3 2 5" xfId="2906" xr:uid="{00000000-0005-0000-0000-0000AB050000}"/>
    <cellStyle name="20% - Accent5 2 3 2 6" xfId="4193" xr:uid="{00000000-0005-0000-0000-0000AC050000}"/>
    <cellStyle name="20% - Accent5 2 3 3" xfId="549" xr:uid="{00000000-0005-0000-0000-0000AD050000}"/>
    <cellStyle name="20% - Accent5 2 3 3 2" xfId="1841" xr:uid="{00000000-0005-0000-0000-0000AE050000}"/>
    <cellStyle name="20% - Accent5 2 3 3 3" xfId="3119" xr:uid="{00000000-0005-0000-0000-0000AF050000}"/>
    <cellStyle name="20% - Accent5 2 3 3 4" xfId="4406" xr:uid="{00000000-0005-0000-0000-0000B0050000}"/>
    <cellStyle name="20% - Accent5 2 3 4" xfId="975" xr:uid="{00000000-0005-0000-0000-0000B1050000}"/>
    <cellStyle name="20% - Accent5 2 3 4 2" xfId="2267" xr:uid="{00000000-0005-0000-0000-0000B2050000}"/>
    <cellStyle name="20% - Accent5 2 3 4 3" xfId="3545" xr:uid="{00000000-0005-0000-0000-0000B3050000}"/>
    <cellStyle name="20% - Accent5 2 3 4 4" xfId="4832" xr:uid="{00000000-0005-0000-0000-0000B4050000}"/>
    <cellStyle name="20% - Accent5 2 3 5" xfId="1415" xr:uid="{00000000-0005-0000-0000-0000B5050000}"/>
    <cellStyle name="20% - Accent5 2 3 6" xfId="2693" xr:uid="{00000000-0005-0000-0000-0000B6050000}"/>
    <cellStyle name="20% - Accent5 2 3 7" xfId="3980" xr:uid="{00000000-0005-0000-0000-0000B7050000}"/>
    <cellStyle name="20% - Accent5 2 3 8" xfId="5242" xr:uid="{00000000-0005-0000-0000-0000B8050000}"/>
    <cellStyle name="20% - Accent5 2 4" xfId="126" xr:uid="{00000000-0005-0000-0000-0000B9050000}"/>
    <cellStyle name="20% - Accent5 2 4 2" xfId="337" xr:uid="{00000000-0005-0000-0000-0000BA050000}"/>
    <cellStyle name="20% - Accent5 2 4 2 2" xfId="763" xr:uid="{00000000-0005-0000-0000-0000BB050000}"/>
    <cellStyle name="20% - Accent5 2 4 2 2 2" xfId="2055" xr:uid="{00000000-0005-0000-0000-0000BC050000}"/>
    <cellStyle name="20% - Accent5 2 4 2 2 3" xfId="3333" xr:uid="{00000000-0005-0000-0000-0000BD050000}"/>
    <cellStyle name="20% - Accent5 2 4 2 2 4" xfId="4620" xr:uid="{00000000-0005-0000-0000-0000BE050000}"/>
    <cellStyle name="20% - Accent5 2 4 2 3" xfId="1189" xr:uid="{00000000-0005-0000-0000-0000BF050000}"/>
    <cellStyle name="20% - Accent5 2 4 2 3 2" xfId="2481" xr:uid="{00000000-0005-0000-0000-0000C0050000}"/>
    <cellStyle name="20% - Accent5 2 4 2 3 3" xfId="3759" xr:uid="{00000000-0005-0000-0000-0000C1050000}"/>
    <cellStyle name="20% - Accent5 2 4 2 3 4" xfId="5046" xr:uid="{00000000-0005-0000-0000-0000C2050000}"/>
    <cellStyle name="20% - Accent5 2 4 2 4" xfId="1629" xr:uid="{00000000-0005-0000-0000-0000C3050000}"/>
    <cellStyle name="20% - Accent5 2 4 2 5" xfId="2907" xr:uid="{00000000-0005-0000-0000-0000C4050000}"/>
    <cellStyle name="20% - Accent5 2 4 2 6" xfId="4194" xr:uid="{00000000-0005-0000-0000-0000C5050000}"/>
    <cellStyle name="20% - Accent5 2 4 3" xfId="550" xr:uid="{00000000-0005-0000-0000-0000C6050000}"/>
    <cellStyle name="20% - Accent5 2 4 3 2" xfId="1842" xr:uid="{00000000-0005-0000-0000-0000C7050000}"/>
    <cellStyle name="20% - Accent5 2 4 3 3" xfId="3120" xr:uid="{00000000-0005-0000-0000-0000C8050000}"/>
    <cellStyle name="20% - Accent5 2 4 3 4" xfId="4407" xr:uid="{00000000-0005-0000-0000-0000C9050000}"/>
    <cellStyle name="20% - Accent5 2 4 4" xfId="976" xr:uid="{00000000-0005-0000-0000-0000CA050000}"/>
    <cellStyle name="20% - Accent5 2 4 4 2" xfId="2268" xr:uid="{00000000-0005-0000-0000-0000CB050000}"/>
    <cellStyle name="20% - Accent5 2 4 4 3" xfId="3546" xr:uid="{00000000-0005-0000-0000-0000CC050000}"/>
    <cellStyle name="20% - Accent5 2 4 4 4" xfId="4833" xr:uid="{00000000-0005-0000-0000-0000CD050000}"/>
    <cellStyle name="20% - Accent5 2 4 5" xfId="1416" xr:uid="{00000000-0005-0000-0000-0000CE050000}"/>
    <cellStyle name="20% - Accent5 2 4 6" xfId="2694" xr:uid="{00000000-0005-0000-0000-0000CF050000}"/>
    <cellStyle name="20% - Accent5 2 4 7" xfId="3981" xr:uid="{00000000-0005-0000-0000-0000D0050000}"/>
    <cellStyle name="20% - Accent5 2 5" xfId="127" xr:uid="{00000000-0005-0000-0000-0000D1050000}"/>
    <cellStyle name="20% - Accent5 2 5 2" xfId="338" xr:uid="{00000000-0005-0000-0000-0000D2050000}"/>
    <cellStyle name="20% - Accent5 2 5 2 2" xfId="764" xr:uid="{00000000-0005-0000-0000-0000D3050000}"/>
    <cellStyle name="20% - Accent5 2 5 2 2 2" xfId="2056" xr:uid="{00000000-0005-0000-0000-0000D4050000}"/>
    <cellStyle name="20% - Accent5 2 5 2 2 3" xfId="3334" xr:uid="{00000000-0005-0000-0000-0000D5050000}"/>
    <cellStyle name="20% - Accent5 2 5 2 2 4" xfId="4621" xr:uid="{00000000-0005-0000-0000-0000D6050000}"/>
    <cellStyle name="20% - Accent5 2 5 2 3" xfId="1190" xr:uid="{00000000-0005-0000-0000-0000D7050000}"/>
    <cellStyle name="20% - Accent5 2 5 2 3 2" xfId="2482" xr:uid="{00000000-0005-0000-0000-0000D8050000}"/>
    <cellStyle name="20% - Accent5 2 5 2 3 3" xfId="3760" xr:uid="{00000000-0005-0000-0000-0000D9050000}"/>
    <cellStyle name="20% - Accent5 2 5 2 3 4" xfId="5047" xr:uid="{00000000-0005-0000-0000-0000DA050000}"/>
    <cellStyle name="20% - Accent5 2 5 2 4" xfId="1630" xr:uid="{00000000-0005-0000-0000-0000DB050000}"/>
    <cellStyle name="20% - Accent5 2 5 2 5" xfId="2908" xr:uid="{00000000-0005-0000-0000-0000DC050000}"/>
    <cellStyle name="20% - Accent5 2 5 2 6" xfId="4195" xr:uid="{00000000-0005-0000-0000-0000DD050000}"/>
    <cellStyle name="20% - Accent5 2 5 3" xfId="551" xr:uid="{00000000-0005-0000-0000-0000DE050000}"/>
    <cellStyle name="20% - Accent5 2 5 3 2" xfId="1843" xr:uid="{00000000-0005-0000-0000-0000DF050000}"/>
    <cellStyle name="20% - Accent5 2 5 3 3" xfId="3121" xr:uid="{00000000-0005-0000-0000-0000E0050000}"/>
    <cellStyle name="20% - Accent5 2 5 3 4" xfId="4408" xr:uid="{00000000-0005-0000-0000-0000E1050000}"/>
    <cellStyle name="20% - Accent5 2 5 4" xfId="977" xr:uid="{00000000-0005-0000-0000-0000E2050000}"/>
    <cellStyle name="20% - Accent5 2 5 4 2" xfId="2269" xr:uid="{00000000-0005-0000-0000-0000E3050000}"/>
    <cellStyle name="20% - Accent5 2 5 4 3" xfId="3547" xr:uid="{00000000-0005-0000-0000-0000E4050000}"/>
    <cellStyle name="20% - Accent5 2 5 4 4" xfId="4834" xr:uid="{00000000-0005-0000-0000-0000E5050000}"/>
    <cellStyle name="20% - Accent5 2 5 5" xfId="1417" xr:uid="{00000000-0005-0000-0000-0000E6050000}"/>
    <cellStyle name="20% - Accent5 2 5 6" xfId="2695" xr:uid="{00000000-0005-0000-0000-0000E7050000}"/>
    <cellStyle name="20% - Accent5 2 5 7" xfId="3982" xr:uid="{00000000-0005-0000-0000-0000E8050000}"/>
    <cellStyle name="20% - Accent5 2 6" xfId="277" xr:uid="{00000000-0005-0000-0000-0000E9050000}"/>
    <cellStyle name="20% - Accent5 2 6 2" xfId="490" xr:uid="{00000000-0005-0000-0000-0000EA050000}"/>
    <cellStyle name="20% - Accent5 2 6 2 2" xfId="915" xr:uid="{00000000-0005-0000-0000-0000EB050000}"/>
    <cellStyle name="20% - Accent5 2 6 2 2 2" xfId="2207" xr:uid="{00000000-0005-0000-0000-0000EC050000}"/>
    <cellStyle name="20% - Accent5 2 6 2 2 3" xfId="3485" xr:uid="{00000000-0005-0000-0000-0000ED050000}"/>
    <cellStyle name="20% - Accent5 2 6 2 2 4" xfId="4772" xr:uid="{00000000-0005-0000-0000-0000EE050000}"/>
    <cellStyle name="20% - Accent5 2 6 2 3" xfId="1341" xr:uid="{00000000-0005-0000-0000-0000EF050000}"/>
    <cellStyle name="20% - Accent5 2 6 2 3 2" xfId="2633" xr:uid="{00000000-0005-0000-0000-0000F0050000}"/>
    <cellStyle name="20% - Accent5 2 6 2 3 3" xfId="3911" xr:uid="{00000000-0005-0000-0000-0000F1050000}"/>
    <cellStyle name="20% - Accent5 2 6 2 3 4" xfId="5198" xr:uid="{00000000-0005-0000-0000-0000F2050000}"/>
    <cellStyle name="20% - Accent5 2 6 2 4" xfId="1781" xr:uid="{00000000-0005-0000-0000-0000F3050000}"/>
    <cellStyle name="20% - Accent5 2 6 2 5" xfId="3059" xr:uid="{00000000-0005-0000-0000-0000F4050000}"/>
    <cellStyle name="20% - Accent5 2 6 2 6" xfId="4346" xr:uid="{00000000-0005-0000-0000-0000F5050000}"/>
    <cellStyle name="20% - Accent5 2 6 3" xfId="702" xr:uid="{00000000-0005-0000-0000-0000F6050000}"/>
    <cellStyle name="20% - Accent5 2 6 3 2" xfId="1994" xr:uid="{00000000-0005-0000-0000-0000F7050000}"/>
    <cellStyle name="20% - Accent5 2 6 3 3" xfId="3272" xr:uid="{00000000-0005-0000-0000-0000F8050000}"/>
    <cellStyle name="20% - Accent5 2 6 3 4" xfId="4559" xr:uid="{00000000-0005-0000-0000-0000F9050000}"/>
    <cellStyle name="20% - Accent5 2 6 4" xfId="1128" xr:uid="{00000000-0005-0000-0000-0000FA050000}"/>
    <cellStyle name="20% - Accent5 2 6 4 2" xfId="2420" xr:uid="{00000000-0005-0000-0000-0000FB050000}"/>
    <cellStyle name="20% - Accent5 2 6 4 3" xfId="3698" xr:uid="{00000000-0005-0000-0000-0000FC050000}"/>
    <cellStyle name="20% - Accent5 2 6 4 4" xfId="4985" xr:uid="{00000000-0005-0000-0000-0000FD050000}"/>
    <cellStyle name="20% - Accent5 2 6 5" xfId="1568" xr:uid="{00000000-0005-0000-0000-0000FE050000}"/>
    <cellStyle name="20% - Accent5 2 6 6" xfId="2846" xr:uid="{00000000-0005-0000-0000-0000FF050000}"/>
    <cellStyle name="20% - Accent5 2 6 7" xfId="4133" xr:uid="{00000000-0005-0000-0000-000000060000}"/>
    <cellStyle name="20% - Accent5 2 7" xfId="333" xr:uid="{00000000-0005-0000-0000-000001060000}"/>
    <cellStyle name="20% - Accent5 2 7 2" xfId="759" xr:uid="{00000000-0005-0000-0000-000002060000}"/>
    <cellStyle name="20% - Accent5 2 7 2 2" xfId="2051" xr:uid="{00000000-0005-0000-0000-000003060000}"/>
    <cellStyle name="20% - Accent5 2 7 2 3" xfId="3329" xr:uid="{00000000-0005-0000-0000-000004060000}"/>
    <cellStyle name="20% - Accent5 2 7 2 4" xfId="4616" xr:uid="{00000000-0005-0000-0000-000005060000}"/>
    <cellStyle name="20% - Accent5 2 7 3" xfId="1185" xr:uid="{00000000-0005-0000-0000-000006060000}"/>
    <cellStyle name="20% - Accent5 2 7 3 2" xfId="2477" xr:uid="{00000000-0005-0000-0000-000007060000}"/>
    <cellStyle name="20% - Accent5 2 7 3 3" xfId="3755" xr:uid="{00000000-0005-0000-0000-000008060000}"/>
    <cellStyle name="20% - Accent5 2 7 3 4" xfId="5042" xr:uid="{00000000-0005-0000-0000-000009060000}"/>
    <cellStyle name="20% - Accent5 2 7 4" xfId="1625" xr:uid="{00000000-0005-0000-0000-00000A060000}"/>
    <cellStyle name="20% - Accent5 2 7 5" xfId="2903" xr:uid="{00000000-0005-0000-0000-00000B060000}"/>
    <cellStyle name="20% - Accent5 2 7 6" xfId="4190" xr:uid="{00000000-0005-0000-0000-00000C060000}"/>
    <cellStyle name="20% - Accent5 2 8" xfId="546" xr:uid="{00000000-0005-0000-0000-00000D060000}"/>
    <cellStyle name="20% - Accent5 2 8 2" xfId="1838" xr:uid="{00000000-0005-0000-0000-00000E060000}"/>
    <cellStyle name="20% - Accent5 2 8 3" xfId="3116" xr:uid="{00000000-0005-0000-0000-00000F060000}"/>
    <cellStyle name="20% - Accent5 2 8 4" xfId="4403" xr:uid="{00000000-0005-0000-0000-000010060000}"/>
    <cellStyle name="20% - Accent5 2 9" xfId="972" xr:uid="{00000000-0005-0000-0000-000011060000}"/>
    <cellStyle name="20% - Accent5 2 9 2" xfId="2264" xr:uid="{00000000-0005-0000-0000-000012060000}"/>
    <cellStyle name="20% - Accent5 2 9 3" xfId="3542" xr:uid="{00000000-0005-0000-0000-000013060000}"/>
    <cellStyle name="20% - Accent5 2 9 4" xfId="4829" xr:uid="{00000000-0005-0000-0000-000014060000}"/>
    <cellStyle name="20% - Accent5 3" xfId="128" xr:uid="{00000000-0005-0000-0000-000015060000}"/>
    <cellStyle name="20% - Accent5 3 2" xfId="129" xr:uid="{00000000-0005-0000-0000-000016060000}"/>
    <cellStyle name="20% - Accent5 3 2 2" xfId="340" xr:uid="{00000000-0005-0000-0000-000017060000}"/>
    <cellStyle name="20% - Accent5 3 2 2 2" xfId="766" xr:uid="{00000000-0005-0000-0000-000018060000}"/>
    <cellStyle name="20% - Accent5 3 2 2 2 2" xfId="2058" xr:uid="{00000000-0005-0000-0000-000019060000}"/>
    <cellStyle name="20% - Accent5 3 2 2 2 3" xfId="3336" xr:uid="{00000000-0005-0000-0000-00001A060000}"/>
    <cellStyle name="20% - Accent5 3 2 2 2 4" xfId="4623" xr:uid="{00000000-0005-0000-0000-00001B060000}"/>
    <cellStyle name="20% - Accent5 3 2 2 3" xfId="1192" xr:uid="{00000000-0005-0000-0000-00001C060000}"/>
    <cellStyle name="20% - Accent5 3 2 2 3 2" xfId="2484" xr:uid="{00000000-0005-0000-0000-00001D060000}"/>
    <cellStyle name="20% - Accent5 3 2 2 3 3" xfId="3762" xr:uid="{00000000-0005-0000-0000-00001E060000}"/>
    <cellStyle name="20% - Accent5 3 2 2 3 4" xfId="5049" xr:uid="{00000000-0005-0000-0000-00001F060000}"/>
    <cellStyle name="20% - Accent5 3 2 2 4" xfId="1632" xr:uid="{00000000-0005-0000-0000-000020060000}"/>
    <cellStyle name="20% - Accent5 3 2 2 5" xfId="2910" xr:uid="{00000000-0005-0000-0000-000021060000}"/>
    <cellStyle name="20% - Accent5 3 2 2 6" xfId="4197" xr:uid="{00000000-0005-0000-0000-000022060000}"/>
    <cellStyle name="20% - Accent5 3 2 3" xfId="553" xr:uid="{00000000-0005-0000-0000-000023060000}"/>
    <cellStyle name="20% - Accent5 3 2 3 2" xfId="1845" xr:uid="{00000000-0005-0000-0000-000024060000}"/>
    <cellStyle name="20% - Accent5 3 2 3 3" xfId="3123" xr:uid="{00000000-0005-0000-0000-000025060000}"/>
    <cellStyle name="20% - Accent5 3 2 3 4" xfId="4410" xr:uid="{00000000-0005-0000-0000-000026060000}"/>
    <cellStyle name="20% - Accent5 3 2 4" xfId="979" xr:uid="{00000000-0005-0000-0000-000027060000}"/>
    <cellStyle name="20% - Accent5 3 2 4 2" xfId="2271" xr:uid="{00000000-0005-0000-0000-000028060000}"/>
    <cellStyle name="20% - Accent5 3 2 4 3" xfId="3549" xr:uid="{00000000-0005-0000-0000-000029060000}"/>
    <cellStyle name="20% - Accent5 3 2 4 4" xfId="4836" xr:uid="{00000000-0005-0000-0000-00002A060000}"/>
    <cellStyle name="20% - Accent5 3 2 5" xfId="1419" xr:uid="{00000000-0005-0000-0000-00002B060000}"/>
    <cellStyle name="20% - Accent5 3 2 6" xfId="2697" xr:uid="{00000000-0005-0000-0000-00002C060000}"/>
    <cellStyle name="20% - Accent5 3 2 7" xfId="3984" xr:uid="{00000000-0005-0000-0000-00002D060000}"/>
    <cellStyle name="20% - Accent5 3 2 8" xfId="5244" xr:uid="{00000000-0005-0000-0000-00002E060000}"/>
    <cellStyle name="20% - Accent5 3 3" xfId="339" xr:uid="{00000000-0005-0000-0000-00002F060000}"/>
    <cellStyle name="20% - Accent5 3 3 2" xfId="765" xr:uid="{00000000-0005-0000-0000-000030060000}"/>
    <cellStyle name="20% - Accent5 3 3 2 2" xfId="2057" xr:uid="{00000000-0005-0000-0000-000031060000}"/>
    <cellStyle name="20% - Accent5 3 3 2 3" xfId="3335" xr:uid="{00000000-0005-0000-0000-000032060000}"/>
    <cellStyle name="20% - Accent5 3 3 2 4" xfId="4622" xr:uid="{00000000-0005-0000-0000-000033060000}"/>
    <cellStyle name="20% - Accent5 3 3 3" xfId="1191" xr:uid="{00000000-0005-0000-0000-000034060000}"/>
    <cellStyle name="20% - Accent5 3 3 3 2" xfId="2483" xr:uid="{00000000-0005-0000-0000-000035060000}"/>
    <cellStyle name="20% - Accent5 3 3 3 3" xfId="3761" xr:uid="{00000000-0005-0000-0000-000036060000}"/>
    <cellStyle name="20% - Accent5 3 3 3 4" xfId="5048" xr:uid="{00000000-0005-0000-0000-000037060000}"/>
    <cellStyle name="20% - Accent5 3 3 4" xfId="1631" xr:uid="{00000000-0005-0000-0000-000038060000}"/>
    <cellStyle name="20% - Accent5 3 3 5" xfId="2909" xr:uid="{00000000-0005-0000-0000-000039060000}"/>
    <cellStyle name="20% - Accent5 3 3 6" xfId="4196" xr:uid="{00000000-0005-0000-0000-00003A060000}"/>
    <cellStyle name="20% - Accent5 3 4" xfId="552" xr:uid="{00000000-0005-0000-0000-00003B060000}"/>
    <cellStyle name="20% - Accent5 3 4 2" xfId="1844" xr:uid="{00000000-0005-0000-0000-00003C060000}"/>
    <cellStyle name="20% - Accent5 3 4 3" xfId="3122" xr:uid="{00000000-0005-0000-0000-00003D060000}"/>
    <cellStyle name="20% - Accent5 3 4 4" xfId="4409" xr:uid="{00000000-0005-0000-0000-00003E060000}"/>
    <cellStyle name="20% - Accent5 3 5" xfId="978" xr:uid="{00000000-0005-0000-0000-00003F060000}"/>
    <cellStyle name="20% - Accent5 3 5 2" xfId="2270" xr:uid="{00000000-0005-0000-0000-000040060000}"/>
    <cellStyle name="20% - Accent5 3 5 3" xfId="3548" xr:uid="{00000000-0005-0000-0000-000041060000}"/>
    <cellStyle name="20% - Accent5 3 5 4" xfId="4835" xr:uid="{00000000-0005-0000-0000-000042060000}"/>
    <cellStyle name="20% - Accent5 3 6" xfId="1418" xr:uid="{00000000-0005-0000-0000-000043060000}"/>
    <cellStyle name="20% - Accent5 3 7" xfId="2696" xr:uid="{00000000-0005-0000-0000-000044060000}"/>
    <cellStyle name="20% - Accent5 3 8" xfId="3983" xr:uid="{00000000-0005-0000-0000-000045060000}"/>
    <cellStyle name="20% - Accent5 3 9" xfId="5243" xr:uid="{00000000-0005-0000-0000-000046060000}"/>
    <cellStyle name="20% - Accent5 4" xfId="130" xr:uid="{00000000-0005-0000-0000-000047060000}"/>
    <cellStyle name="20% - Accent5 4 2" xfId="341" xr:uid="{00000000-0005-0000-0000-000048060000}"/>
    <cellStyle name="20% - Accent5 4 2 2" xfId="767" xr:uid="{00000000-0005-0000-0000-000049060000}"/>
    <cellStyle name="20% - Accent5 4 2 2 2" xfId="2059" xr:uid="{00000000-0005-0000-0000-00004A060000}"/>
    <cellStyle name="20% - Accent5 4 2 2 3" xfId="3337" xr:uid="{00000000-0005-0000-0000-00004B060000}"/>
    <cellStyle name="20% - Accent5 4 2 2 4" xfId="4624" xr:uid="{00000000-0005-0000-0000-00004C060000}"/>
    <cellStyle name="20% - Accent5 4 2 3" xfId="1193" xr:uid="{00000000-0005-0000-0000-00004D060000}"/>
    <cellStyle name="20% - Accent5 4 2 3 2" xfId="2485" xr:uid="{00000000-0005-0000-0000-00004E060000}"/>
    <cellStyle name="20% - Accent5 4 2 3 3" xfId="3763" xr:uid="{00000000-0005-0000-0000-00004F060000}"/>
    <cellStyle name="20% - Accent5 4 2 3 4" xfId="5050" xr:uid="{00000000-0005-0000-0000-000050060000}"/>
    <cellStyle name="20% - Accent5 4 2 4" xfId="1633" xr:uid="{00000000-0005-0000-0000-000051060000}"/>
    <cellStyle name="20% - Accent5 4 2 5" xfId="2911" xr:uid="{00000000-0005-0000-0000-000052060000}"/>
    <cellStyle name="20% - Accent5 4 2 6" xfId="4198" xr:uid="{00000000-0005-0000-0000-000053060000}"/>
    <cellStyle name="20% - Accent5 4 3" xfId="554" xr:uid="{00000000-0005-0000-0000-000054060000}"/>
    <cellStyle name="20% - Accent5 4 3 2" xfId="1846" xr:uid="{00000000-0005-0000-0000-000055060000}"/>
    <cellStyle name="20% - Accent5 4 3 3" xfId="3124" xr:uid="{00000000-0005-0000-0000-000056060000}"/>
    <cellStyle name="20% - Accent5 4 3 4" xfId="4411" xr:uid="{00000000-0005-0000-0000-000057060000}"/>
    <cellStyle name="20% - Accent5 4 4" xfId="980" xr:uid="{00000000-0005-0000-0000-000058060000}"/>
    <cellStyle name="20% - Accent5 4 4 2" xfId="2272" xr:uid="{00000000-0005-0000-0000-000059060000}"/>
    <cellStyle name="20% - Accent5 4 4 3" xfId="3550" xr:uid="{00000000-0005-0000-0000-00005A060000}"/>
    <cellStyle name="20% - Accent5 4 4 4" xfId="4837" xr:uid="{00000000-0005-0000-0000-00005B060000}"/>
    <cellStyle name="20% - Accent5 4 5" xfId="1420" xr:uid="{00000000-0005-0000-0000-00005C060000}"/>
    <cellStyle name="20% - Accent5 4 6" xfId="2698" xr:uid="{00000000-0005-0000-0000-00005D060000}"/>
    <cellStyle name="20% - Accent5 4 7" xfId="3985" xr:uid="{00000000-0005-0000-0000-00005E060000}"/>
    <cellStyle name="20% - Accent5 4 8" xfId="5245" xr:uid="{00000000-0005-0000-0000-00005F060000}"/>
    <cellStyle name="20% - Accent5 5" xfId="131" xr:uid="{00000000-0005-0000-0000-000060060000}"/>
    <cellStyle name="20% - Accent5 5 2" xfId="342" xr:uid="{00000000-0005-0000-0000-000061060000}"/>
    <cellStyle name="20% - Accent5 5 2 2" xfId="768" xr:uid="{00000000-0005-0000-0000-000062060000}"/>
    <cellStyle name="20% - Accent5 5 2 2 2" xfId="2060" xr:uid="{00000000-0005-0000-0000-000063060000}"/>
    <cellStyle name="20% - Accent5 5 2 2 3" xfId="3338" xr:uid="{00000000-0005-0000-0000-000064060000}"/>
    <cellStyle name="20% - Accent5 5 2 2 4" xfId="4625" xr:uid="{00000000-0005-0000-0000-000065060000}"/>
    <cellStyle name="20% - Accent5 5 2 3" xfId="1194" xr:uid="{00000000-0005-0000-0000-000066060000}"/>
    <cellStyle name="20% - Accent5 5 2 3 2" xfId="2486" xr:uid="{00000000-0005-0000-0000-000067060000}"/>
    <cellStyle name="20% - Accent5 5 2 3 3" xfId="3764" xr:uid="{00000000-0005-0000-0000-000068060000}"/>
    <cellStyle name="20% - Accent5 5 2 3 4" xfId="5051" xr:uid="{00000000-0005-0000-0000-000069060000}"/>
    <cellStyle name="20% - Accent5 5 2 4" xfId="1634" xr:uid="{00000000-0005-0000-0000-00006A060000}"/>
    <cellStyle name="20% - Accent5 5 2 5" xfId="2912" xr:uid="{00000000-0005-0000-0000-00006B060000}"/>
    <cellStyle name="20% - Accent5 5 2 6" xfId="4199" xr:uid="{00000000-0005-0000-0000-00006C060000}"/>
    <cellStyle name="20% - Accent5 5 3" xfId="555" xr:uid="{00000000-0005-0000-0000-00006D060000}"/>
    <cellStyle name="20% - Accent5 5 3 2" xfId="1847" xr:uid="{00000000-0005-0000-0000-00006E060000}"/>
    <cellStyle name="20% - Accent5 5 3 3" xfId="3125" xr:uid="{00000000-0005-0000-0000-00006F060000}"/>
    <cellStyle name="20% - Accent5 5 3 4" xfId="4412" xr:uid="{00000000-0005-0000-0000-000070060000}"/>
    <cellStyle name="20% - Accent5 5 4" xfId="981" xr:uid="{00000000-0005-0000-0000-000071060000}"/>
    <cellStyle name="20% - Accent5 5 4 2" xfId="2273" xr:uid="{00000000-0005-0000-0000-000072060000}"/>
    <cellStyle name="20% - Accent5 5 4 3" xfId="3551" xr:uid="{00000000-0005-0000-0000-000073060000}"/>
    <cellStyle name="20% - Accent5 5 4 4" xfId="4838" xr:uid="{00000000-0005-0000-0000-000074060000}"/>
    <cellStyle name="20% - Accent5 5 5" xfId="1421" xr:uid="{00000000-0005-0000-0000-000075060000}"/>
    <cellStyle name="20% - Accent5 5 6" xfId="2699" xr:uid="{00000000-0005-0000-0000-000076060000}"/>
    <cellStyle name="20% - Accent5 5 7" xfId="3986" xr:uid="{00000000-0005-0000-0000-000077060000}"/>
    <cellStyle name="20% - Accent5 6" xfId="132" xr:uid="{00000000-0005-0000-0000-000078060000}"/>
    <cellStyle name="20% - Accent5 6 2" xfId="343" xr:uid="{00000000-0005-0000-0000-000079060000}"/>
    <cellStyle name="20% - Accent5 6 2 2" xfId="769" xr:uid="{00000000-0005-0000-0000-00007A060000}"/>
    <cellStyle name="20% - Accent5 6 2 2 2" xfId="2061" xr:uid="{00000000-0005-0000-0000-00007B060000}"/>
    <cellStyle name="20% - Accent5 6 2 2 3" xfId="3339" xr:uid="{00000000-0005-0000-0000-00007C060000}"/>
    <cellStyle name="20% - Accent5 6 2 2 4" xfId="4626" xr:uid="{00000000-0005-0000-0000-00007D060000}"/>
    <cellStyle name="20% - Accent5 6 2 3" xfId="1195" xr:uid="{00000000-0005-0000-0000-00007E060000}"/>
    <cellStyle name="20% - Accent5 6 2 3 2" xfId="2487" xr:uid="{00000000-0005-0000-0000-00007F060000}"/>
    <cellStyle name="20% - Accent5 6 2 3 3" xfId="3765" xr:uid="{00000000-0005-0000-0000-000080060000}"/>
    <cellStyle name="20% - Accent5 6 2 3 4" xfId="5052" xr:uid="{00000000-0005-0000-0000-000081060000}"/>
    <cellStyle name="20% - Accent5 6 2 4" xfId="1635" xr:uid="{00000000-0005-0000-0000-000082060000}"/>
    <cellStyle name="20% - Accent5 6 2 5" xfId="2913" xr:uid="{00000000-0005-0000-0000-000083060000}"/>
    <cellStyle name="20% - Accent5 6 2 6" xfId="4200" xr:uid="{00000000-0005-0000-0000-000084060000}"/>
    <cellStyle name="20% - Accent5 6 3" xfId="556" xr:uid="{00000000-0005-0000-0000-000085060000}"/>
    <cellStyle name="20% - Accent5 6 3 2" xfId="1848" xr:uid="{00000000-0005-0000-0000-000086060000}"/>
    <cellStyle name="20% - Accent5 6 3 3" xfId="3126" xr:uid="{00000000-0005-0000-0000-000087060000}"/>
    <cellStyle name="20% - Accent5 6 3 4" xfId="4413" xr:uid="{00000000-0005-0000-0000-000088060000}"/>
    <cellStyle name="20% - Accent5 6 4" xfId="982" xr:uid="{00000000-0005-0000-0000-000089060000}"/>
    <cellStyle name="20% - Accent5 6 4 2" xfId="2274" xr:uid="{00000000-0005-0000-0000-00008A060000}"/>
    <cellStyle name="20% - Accent5 6 4 3" xfId="3552" xr:uid="{00000000-0005-0000-0000-00008B060000}"/>
    <cellStyle name="20% - Accent5 6 4 4" xfId="4839" xr:uid="{00000000-0005-0000-0000-00008C060000}"/>
    <cellStyle name="20% - Accent5 6 5" xfId="1422" xr:uid="{00000000-0005-0000-0000-00008D060000}"/>
    <cellStyle name="20% - Accent5 6 6" xfId="2700" xr:uid="{00000000-0005-0000-0000-00008E060000}"/>
    <cellStyle name="20% - Accent5 6 7" xfId="3987" xr:uid="{00000000-0005-0000-0000-00008F060000}"/>
    <cellStyle name="20% - Accent5 7" xfId="258" xr:uid="{00000000-0005-0000-0000-000090060000}"/>
    <cellStyle name="20% - Accent5 7 2" xfId="471" xr:uid="{00000000-0005-0000-0000-000091060000}"/>
    <cellStyle name="20% - Accent5 7 2 2" xfId="896" xr:uid="{00000000-0005-0000-0000-000092060000}"/>
    <cellStyle name="20% - Accent5 7 2 2 2" xfId="2188" xr:uid="{00000000-0005-0000-0000-000093060000}"/>
    <cellStyle name="20% - Accent5 7 2 2 3" xfId="3466" xr:uid="{00000000-0005-0000-0000-000094060000}"/>
    <cellStyle name="20% - Accent5 7 2 2 4" xfId="4753" xr:uid="{00000000-0005-0000-0000-000095060000}"/>
    <cellStyle name="20% - Accent5 7 2 3" xfId="1322" xr:uid="{00000000-0005-0000-0000-000096060000}"/>
    <cellStyle name="20% - Accent5 7 2 3 2" xfId="2614" xr:uid="{00000000-0005-0000-0000-000097060000}"/>
    <cellStyle name="20% - Accent5 7 2 3 3" xfId="3892" xr:uid="{00000000-0005-0000-0000-000098060000}"/>
    <cellStyle name="20% - Accent5 7 2 3 4" xfId="5179" xr:uid="{00000000-0005-0000-0000-000099060000}"/>
    <cellStyle name="20% - Accent5 7 2 4" xfId="1762" xr:uid="{00000000-0005-0000-0000-00009A060000}"/>
    <cellStyle name="20% - Accent5 7 2 5" xfId="3040" xr:uid="{00000000-0005-0000-0000-00009B060000}"/>
    <cellStyle name="20% - Accent5 7 2 6" xfId="4327" xr:uid="{00000000-0005-0000-0000-00009C060000}"/>
    <cellStyle name="20% - Accent5 7 3" xfId="683" xr:uid="{00000000-0005-0000-0000-00009D060000}"/>
    <cellStyle name="20% - Accent5 7 3 2" xfId="1975" xr:uid="{00000000-0005-0000-0000-00009E060000}"/>
    <cellStyle name="20% - Accent5 7 3 3" xfId="3253" xr:uid="{00000000-0005-0000-0000-00009F060000}"/>
    <cellStyle name="20% - Accent5 7 3 4" xfId="4540" xr:uid="{00000000-0005-0000-0000-0000A0060000}"/>
    <cellStyle name="20% - Accent5 7 4" xfId="1109" xr:uid="{00000000-0005-0000-0000-0000A1060000}"/>
    <cellStyle name="20% - Accent5 7 4 2" xfId="2401" xr:uid="{00000000-0005-0000-0000-0000A2060000}"/>
    <cellStyle name="20% - Accent5 7 4 3" xfId="3679" xr:uid="{00000000-0005-0000-0000-0000A3060000}"/>
    <cellStyle name="20% - Accent5 7 4 4" xfId="4966" xr:uid="{00000000-0005-0000-0000-0000A4060000}"/>
    <cellStyle name="20% - Accent5 7 5" xfId="1549" xr:uid="{00000000-0005-0000-0000-0000A5060000}"/>
    <cellStyle name="20% - Accent5 7 6" xfId="2827" xr:uid="{00000000-0005-0000-0000-0000A6060000}"/>
    <cellStyle name="20% - Accent5 7 7" xfId="4114" xr:uid="{00000000-0005-0000-0000-0000A7060000}"/>
    <cellStyle name="20% - Accent5 8" xfId="332" xr:uid="{00000000-0005-0000-0000-0000A8060000}"/>
    <cellStyle name="20% - Accent5 8 2" xfId="758" xr:uid="{00000000-0005-0000-0000-0000A9060000}"/>
    <cellStyle name="20% - Accent5 8 2 2" xfId="2050" xr:uid="{00000000-0005-0000-0000-0000AA060000}"/>
    <cellStyle name="20% - Accent5 8 2 3" xfId="3328" xr:uid="{00000000-0005-0000-0000-0000AB060000}"/>
    <cellStyle name="20% - Accent5 8 2 4" xfId="4615" xr:uid="{00000000-0005-0000-0000-0000AC060000}"/>
    <cellStyle name="20% - Accent5 8 3" xfId="1184" xr:uid="{00000000-0005-0000-0000-0000AD060000}"/>
    <cellStyle name="20% - Accent5 8 3 2" xfId="2476" xr:uid="{00000000-0005-0000-0000-0000AE060000}"/>
    <cellStyle name="20% - Accent5 8 3 3" xfId="3754" xr:uid="{00000000-0005-0000-0000-0000AF060000}"/>
    <cellStyle name="20% - Accent5 8 3 4" xfId="5041" xr:uid="{00000000-0005-0000-0000-0000B0060000}"/>
    <cellStyle name="20% - Accent5 8 4" xfId="1624" xr:uid="{00000000-0005-0000-0000-0000B1060000}"/>
    <cellStyle name="20% - Accent5 8 5" xfId="2902" xr:uid="{00000000-0005-0000-0000-0000B2060000}"/>
    <cellStyle name="20% - Accent5 8 6" xfId="4189" xr:uid="{00000000-0005-0000-0000-0000B3060000}"/>
    <cellStyle name="20% - Accent5 9" xfId="545" xr:uid="{00000000-0005-0000-0000-0000B4060000}"/>
    <cellStyle name="20% - Accent5 9 2" xfId="1837" xr:uid="{00000000-0005-0000-0000-0000B5060000}"/>
    <cellStyle name="20% - Accent5 9 3" xfId="3115" xr:uid="{00000000-0005-0000-0000-0000B6060000}"/>
    <cellStyle name="20% - Accent5 9 4" xfId="4402" xr:uid="{00000000-0005-0000-0000-0000B7060000}"/>
    <cellStyle name="20% - Accent6" xfId="77" builtinId="50" customBuiltin="1"/>
    <cellStyle name="20% - Accent6 10" xfId="983" xr:uid="{00000000-0005-0000-0000-0000B9060000}"/>
    <cellStyle name="20% - Accent6 10 2" xfId="2275" xr:uid="{00000000-0005-0000-0000-0000BA060000}"/>
    <cellStyle name="20% - Accent6 10 3" xfId="3553" xr:uid="{00000000-0005-0000-0000-0000BB060000}"/>
    <cellStyle name="20% - Accent6 10 4" xfId="4840" xr:uid="{00000000-0005-0000-0000-0000BC060000}"/>
    <cellStyle name="20% - Accent6 11" xfId="1423" xr:uid="{00000000-0005-0000-0000-0000BD060000}"/>
    <cellStyle name="20% - Accent6 12" xfId="2701" xr:uid="{00000000-0005-0000-0000-0000BE060000}"/>
    <cellStyle name="20% - Accent6 13" xfId="3988" xr:uid="{00000000-0005-0000-0000-0000BF060000}"/>
    <cellStyle name="20% - Accent6 14" xfId="5246" xr:uid="{00000000-0005-0000-0000-0000C0060000}"/>
    <cellStyle name="20% - Accent6 2" xfId="15" xr:uid="{00000000-0005-0000-0000-0000C1060000}"/>
    <cellStyle name="20% - Accent6 2 10" xfId="1424" xr:uid="{00000000-0005-0000-0000-0000C2060000}"/>
    <cellStyle name="20% - Accent6 2 11" xfId="2702" xr:uid="{00000000-0005-0000-0000-0000C3060000}"/>
    <cellStyle name="20% - Accent6 2 12" xfId="3989" xr:uid="{00000000-0005-0000-0000-0000C4060000}"/>
    <cellStyle name="20% - Accent6 2 13" xfId="5247" xr:uid="{00000000-0005-0000-0000-0000C5060000}"/>
    <cellStyle name="20% - Accent6 2 2" xfId="133" xr:uid="{00000000-0005-0000-0000-0000C6060000}"/>
    <cellStyle name="20% - Accent6 2 2 2" xfId="134" xr:uid="{00000000-0005-0000-0000-0000C7060000}"/>
    <cellStyle name="20% - Accent6 2 2 2 2" xfId="347" xr:uid="{00000000-0005-0000-0000-0000C8060000}"/>
    <cellStyle name="20% - Accent6 2 2 2 2 2" xfId="773" xr:uid="{00000000-0005-0000-0000-0000C9060000}"/>
    <cellStyle name="20% - Accent6 2 2 2 2 2 2" xfId="2065" xr:uid="{00000000-0005-0000-0000-0000CA060000}"/>
    <cellStyle name="20% - Accent6 2 2 2 2 2 3" xfId="3343" xr:uid="{00000000-0005-0000-0000-0000CB060000}"/>
    <cellStyle name="20% - Accent6 2 2 2 2 2 4" xfId="4630" xr:uid="{00000000-0005-0000-0000-0000CC060000}"/>
    <cellStyle name="20% - Accent6 2 2 2 2 3" xfId="1199" xr:uid="{00000000-0005-0000-0000-0000CD060000}"/>
    <cellStyle name="20% - Accent6 2 2 2 2 3 2" xfId="2491" xr:uid="{00000000-0005-0000-0000-0000CE060000}"/>
    <cellStyle name="20% - Accent6 2 2 2 2 3 3" xfId="3769" xr:uid="{00000000-0005-0000-0000-0000CF060000}"/>
    <cellStyle name="20% - Accent6 2 2 2 2 3 4" xfId="5056" xr:uid="{00000000-0005-0000-0000-0000D0060000}"/>
    <cellStyle name="20% - Accent6 2 2 2 2 4" xfId="1639" xr:uid="{00000000-0005-0000-0000-0000D1060000}"/>
    <cellStyle name="20% - Accent6 2 2 2 2 5" xfId="2917" xr:uid="{00000000-0005-0000-0000-0000D2060000}"/>
    <cellStyle name="20% - Accent6 2 2 2 2 6" xfId="4204" xr:uid="{00000000-0005-0000-0000-0000D3060000}"/>
    <cellStyle name="20% - Accent6 2 2 2 3" xfId="560" xr:uid="{00000000-0005-0000-0000-0000D4060000}"/>
    <cellStyle name="20% - Accent6 2 2 2 3 2" xfId="1852" xr:uid="{00000000-0005-0000-0000-0000D5060000}"/>
    <cellStyle name="20% - Accent6 2 2 2 3 3" xfId="3130" xr:uid="{00000000-0005-0000-0000-0000D6060000}"/>
    <cellStyle name="20% - Accent6 2 2 2 3 4" xfId="4417" xr:uid="{00000000-0005-0000-0000-0000D7060000}"/>
    <cellStyle name="20% - Accent6 2 2 2 4" xfId="986" xr:uid="{00000000-0005-0000-0000-0000D8060000}"/>
    <cellStyle name="20% - Accent6 2 2 2 4 2" xfId="2278" xr:uid="{00000000-0005-0000-0000-0000D9060000}"/>
    <cellStyle name="20% - Accent6 2 2 2 4 3" xfId="3556" xr:uid="{00000000-0005-0000-0000-0000DA060000}"/>
    <cellStyle name="20% - Accent6 2 2 2 4 4" xfId="4843" xr:uid="{00000000-0005-0000-0000-0000DB060000}"/>
    <cellStyle name="20% - Accent6 2 2 2 5" xfId="1426" xr:uid="{00000000-0005-0000-0000-0000DC060000}"/>
    <cellStyle name="20% - Accent6 2 2 2 6" xfId="2704" xr:uid="{00000000-0005-0000-0000-0000DD060000}"/>
    <cellStyle name="20% - Accent6 2 2 2 7" xfId="3991" xr:uid="{00000000-0005-0000-0000-0000DE060000}"/>
    <cellStyle name="20% - Accent6 2 2 2 8" xfId="5249" xr:uid="{00000000-0005-0000-0000-0000DF060000}"/>
    <cellStyle name="20% - Accent6 2 2 3" xfId="346" xr:uid="{00000000-0005-0000-0000-0000E0060000}"/>
    <cellStyle name="20% - Accent6 2 2 3 2" xfId="772" xr:uid="{00000000-0005-0000-0000-0000E1060000}"/>
    <cellStyle name="20% - Accent6 2 2 3 2 2" xfId="2064" xr:uid="{00000000-0005-0000-0000-0000E2060000}"/>
    <cellStyle name="20% - Accent6 2 2 3 2 3" xfId="3342" xr:uid="{00000000-0005-0000-0000-0000E3060000}"/>
    <cellStyle name="20% - Accent6 2 2 3 2 4" xfId="4629" xr:uid="{00000000-0005-0000-0000-0000E4060000}"/>
    <cellStyle name="20% - Accent6 2 2 3 3" xfId="1198" xr:uid="{00000000-0005-0000-0000-0000E5060000}"/>
    <cellStyle name="20% - Accent6 2 2 3 3 2" xfId="2490" xr:uid="{00000000-0005-0000-0000-0000E6060000}"/>
    <cellStyle name="20% - Accent6 2 2 3 3 3" xfId="3768" xr:uid="{00000000-0005-0000-0000-0000E7060000}"/>
    <cellStyle name="20% - Accent6 2 2 3 3 4" xfId="5055" xr:uid="{00000000-0005-0000-0000-0000E8060000}"/>
    <cellStyle name="20% - Accent6 2 2 3 4" xfId="1638" xr:uid="{00000000-0005-0000-0000-0000E9060000}"/>
    <cellStyle name="20% - Accent6 2 2 3 5" xfId="2916" xr:uid="{00000000-0005-0000-0000-0000EA060000}"/>
    <cellStyle name="20% - Accent6 2 2 3 6" xfId="4203" xr:uid="{00000000-0005-0000-0000-0000EB060000}"/>
    <cellStyle name="20% - Accent6 2 2 4" xfId="559" xr:uid="{00000000-0005-0000-0000-0000EC060000}"/>
    <cellStyle name="20% - Accent6 2 2 4 2" xfId="1851" xr:uid="{00000000-0005-0000-0000-0000ED060000}"/>
    <cellStyle name="20% - Accent6 2 2 4 3" xfId="3129" xr:uid="{00000000-0005-0000-0000-0000EE060000}"/>
    <cellStyle name="20% - Accent6 2 2 4 4" xfId="4416" xr:uid="{00000000-0005-0000-0000-0000EF060000}"/>
    <cellStyle name="20% - Accent6 2 2 5" xfId="985" xr:uid="{00000000-0005-0000-0000-0000F0060000}"/>
    <cellStyle name="20% - Accent6 2 2 5 2" xfId="2277" xr:uid="{00000000-0005-0000-0000-0000F1060000}"/>
    <cellStyle name="20% - Accent6 2 2 5 3" xfId="3555" xr:uid="{00000000-0005-0000-0000-0000F2060000}"/>
    <cellStyle name="20% - Accent6 2 2 5 4" xfId="4842" xr:uid="{00000000-0005-0000-0000-0000F3060000}"/>
    <cellStyle name="20% - Accent6 2 2 6" xfId="1425" xr:uid="{00000000-0005-0000-0000-0000F4060000}"/>
    <cellStyle name="20% - Accent6 2 2 7" xfId="2703" xr:uid="{00000000-0005-0000-0000-0000F5060000}"/>
    <cellStyle name="20% - Accent6 2 2 8" xfId="3990" xr:uid="{00000000-0005-0000-0000-0000F6060000}"/>
    <cellStyle name="20% - Accent6 2 2 9" xfId="5248" xr:uid="{00000000-0005-0000-0000-0000F7060000}"/>
    <cellStyle name="20% - Accent6 2 3" xfId="135" xr:uid="{00000000-0005-0000-0000-0000F8060000}"/>
    <cellStyle name="20% - Accent6 2 3 2" xfId="348" xr:uid="{00000000-0005-0000-0000-0000F9060000}"/>
    <cellStyle name="20% - Accent6 2 3 2 2" xfId="774" xr:uid="{00000000-0005-0000-0000-0000FA060000}"/>
    <cellStyle name="20% - Accent6 2 3 2 2 2" xfId="2066" xr:uid="{00000000-0005-0000-0000-0000FB060000}"/>
    <cellStyle name="20% - Accent6 2 3 2 2 3" xfId="3344" xr:uid="{00000000-0005-0000-0000-0000FC060000}"/>
    <cellStyle name="20% - Accent6 2 3 2 2 4" xfId="4631" xr:uid="{00000000-0005-0000-0000-0000FD060000}"/>
    <cellStyle name="20% - Accent6 2 3 2 3" xfId="1200" xr:uid="{00000000-0005-0000-0000-0000FE060000}"/>
    <cellStyle name="20% - Accent6 2 3 2 3 2" xfId="2492" xr:uid="{00000000-0005-0000-0000-0000FF060000}"/>
    <cellStyle name="20% - Accent6 2 3 2 3 3" xfId="3770" xr:uid="{00000000-0005-0000-0000-000000070000}"/>
    <cellStyle name="20% - Accent6 2 3 2 3 4" xfId="5057" xr:uid="{00000000-0005-0000-0000-000001070000}"/>
    <cellStyle name="20% - Accent6 2 3 2 4" xfId="1640" xr:uid="{00000000-0005-0000-0000-000002070000}"/>
    <cellStyle name="20% - Accent6 2 3 2 5" xfId="2918" xr:uid="{00000000-0005-0000-0000-000003070000}"/>
    <cellStyle name="20% - Accent6 2 3 2 6" xfId="4205" xr:uid="{00000000-0005-0000-0000-000004070000}"/>
    <cellStyle name="20% - Accent6 2 3 3" xfId="561" xr:uid="{00000000-0005-0000-0000-000005070000}"/>
    <cellStyle name="20% - Accent6 2 3 3 2" xfId="1853" xr:uid="{00000000-0005-0000-0000-000006070000}"/>
    <cellStyle name="20% - Accent6 2 3 3 3" xfId="3131" xr:uid="{00000000-0005-0000-0000-000007070000}"/>
    <cellStyle name="20% - Accent6 2 3 3 4" xfId="4418" xr:uid="{00000000-0005-0000-0000-000008070000}"/>
    <cellStyle name="20% - Accent6 2 3 4" xfId="987" xr:uid="{00000000-0005-0000-0000-000009070000}"/>
    <cellStyle name="20% - Accent6 2 3 4 2" xfId="2279" xr:uid="{00000000-0005-0000-0000-00000A070000}"/>
    <cellStyle name="20% - Accent6 2 3 4 3" xfId="3557" xr:uid="{00000000-0005-0000-0000-00000B070000}"/>
    <cellStyle name="20% - Accent6 2 3 4 4" xfId="4844" xr:uid="{00000000-0005-0000-0000-00000C070000}"/>
    <cellStyle name="20% - Accent6 2 3 5" xfId="1427" xr:uid="{00000000-0005-0000-0000-00000D070000}"/>
    <cellStyle name="20% - Accent6 2 3 6" xfId="2705" xr:uid="{00000000-0005-0000-0000-00000E070000}"/>
    <cellStyle name="20% - Accent6 2 3 7" xfId="3992" xr:uid="{00000000-0005-0000-0000-00000F070000}"/>
    <cellStyle name="20% - Accent6 2 3 8" xfId="5250" xr:uid="{00000000-0005-0000-0000-000010070000}"/>
    <cellStyle name="20% - Accent6 2 4" xfId="136" xr:uid="{00000000-0005-0000-0000-000011070000}"/>
    <cellStyle name="20% - Accent6 2 4 2" xfId="349" xr:uid="{00000000-0005-0000-0000-000012070000}"/>
    <cellStyle name="20% - Accent6 2 4 2 2" xfId="775" xr:uid="{00000000-0005-0000-0000-000013070000}"/>
    <cellStyle name="20% - Accent6 2 4 2 2 2" xfId="2067" xr:uid="{00000000-0005-0000-0000-000014070000}"/>
    <cellStyle name="20% - Accent6 2 4 2 2 3" xfId="3345" xr:uid="{00000000-0005-0000-0000-000015070000}"/>
    <cellStyle name="20% - Accent6 2 4 2 2 4" xfId="4632" xr:uid="{00000000-0005-0000-0000-000016070000}"/>
    <cellStyle name="20% - Accent6 2 4 2 3" xfId="1201" xr:uid="{00000000-0005-0000-0000-000017070000}"/>
    <cellStyle name="20% - Accent6 2 4 2 3 2" xfId="2493" xr:uid="{00000000-0005-0000-0000-000018070000}"/>
    <cellStyle name="20% - Accent6 2 4 2 3 3" xfId="3771" xr:uid="{00000000-0005-0000-0000-000019070000}"/>
    <cellStyle name="20% - Accent6 2 4 2 3 4" xfId="5058" xr:uid="{00000000-0005-0000-0000-00001A070000}"/>
    <cellStyle name="20% - Accent6 2 4 2 4" xfId="1641" xr:uid="{00000000-0005-0000-0000-00001B070000}"/>
    <cellStyle name="20% - Accent6 2 4 2 5" xfId="2919" xr:uid="{00000000-0005-0000-0000-00001C070000}"/>
    <cellStyle name="20% - Accent6 2 4 2 6" xfId="4206" xr:uid="{00000000-0005-0000-0000-00001D070000}"/>
    <cellStyle name="20% - Accent6 2 4 3" xfId="562" xr:uid="{00000000-0005-0000-0000-00001E070000}"/>
    <cellStyle name="20% - Accent6 2 4 3 2" xfId="1854" xr:uid="{00000000-0005-0000-0000-00001F070000}"/>
    <cellStyle name="20% - Accent6 2 4 3 3" xfId="3132" xr:uid="{00000000-0005-0000-0000-000020070000}"/>
    <cellStyle name="20% - Accent6 2 4 3 4" xfId="4419" xr:uid="{00000000-0005-0000-0000-000021070000}"/>
    <cellStyle name="20% - Accent6 2 4 4" xfId="988" xr:uid="{00000000-0005-0000-0000-000022070000}"/>
    <cellStyle name="20% - Accent6 2 4 4 2" xfId="2280" xr:uid="{00000000-0005-0000-0000-000023070000}"/>
    <cellStyle name="20% - Accent6 2 4 4 3" xfId="3558" xr:uid="{00000000-0005-0000-0000-000024070000}"/>
    <cellStyle name="20% - Accent6 2 4 4 4" xfId="4845" xr:uid="{00000000-0005-0000-0000-000025070000}"/>
    <cellStyle name="20% - Accent6 2 4 5" xfId="1428" xr:uid="{00000000-0005-0000-0000-000026070000}"/>
    <cellStyle name="20% - Accent6 2 4 6" xfId="2706" xr:uid="{00000000-0005-0000-0000-000027070000}"/>
    <cellStyle name="20% - Accent6 2 4 7" xfId="3993" xr:uid="{00000000-0005-0000-0000-000028070000}"/>
    <cellStyle name="20% - Accent6 2 5" xfId="137" xr:uid="{00000000-0005-0000-0000-000029070000}"/>
    <cellStyle name="20% - Accent6 2 5 2" xfId="350" xr:uid="{00000000-0005-0000-0000-00002A070000}"/>
    <cellStyle name="20% - Accent6 2 5 2 2" xfId="776" xr:uid="{00000000-0005-0000-0000-00002B070000}"/>
    <cellStyle name="20% - Accent6 2 5 2 2 2" xfId="2068" xr:uid="{00000000-0005-0000-0000-00002C070000}"/>
    <cellStyle name="20% - Accent6 2 5 2 2 3" xfId="3346" xr:uid="{00000000-0005-0000-0000-00002D070000}"/>
    <cellStyle name="20% - Accent6 2 5 2 2 4" xfId="4633" xr:uid="{00000000-0005-0000-0000-00002E070000}"/>
    <cellStyle name="20% - Accent6 2 5 2 3" xfId="1202" xr:uid="{00000000-0005-0000-0000-00002F070000}"/>
    <cellStyle name="20% - Accent6 2 5 2 3 2" xfId="2494" xr:uid="{00000000-0005-0000-0000-000030070000}"/>
    <cellStyle name="20% - Accent6 2 5 2 3 3" xfId="3772" xr:uid="{00000000-0005-0000-0000-000031070000}"/>
    <cellStyle name="20% - Accent6 2 5 2 3 4" xfId="5059" xr:uid="{00000000-0005-0000-0000-000032070000}"/>
    <cellStyle name="20% - Accent6 2 5 2 4" xfId="1642" xr:uid="{00000000-0005-0000-0000-000033070000}"/>
    <cellStyle name="20% - Accent6 2 5 2 5" xfId="2920" xr:uid="{00000000-0005-0000-0000-000034070000}"/>
    <cellStyle name="20% - Accent6 2 5 2 6" xfId="4207" xr:uid="{00000000-0005-0000-0000-000035070000}"/>
    <cellStyle name="20% - Accent6 2 5 3" xfId="563" xr:uid="{00000000-0005-0000-0000-000036070000}"/>
    <cellStyle name="20% - Accent6 2 5 3 2" xfId="1855" xr:uid="{00000000-0005-0000-0000-000037070000}"/>
    <cellStyle name="20% - Accent6 2 5 3 3" xfId="3133" xr:uid="{00000000-0005-0000-0000-000038070000}"/>
    <cellStyle name="20% - Accent6 2 5 3 4" xfId="4420" xr:uid="{00000000-0005-0000-0000-000039070000}"/>
    <cellStyle name="20% - Accent6 2 5 4" xfId="989" xr:uid="{00000000-0005-0000-0000-00003A070000}"/>
    <cellStyle name="20% - Accent6 2 5 4 2" xfId="2281" xr:uid="{00000000-0005-0000-0000-00003B070000}"/>
    <cellStyle name="20% - Accent6 2 5 4 3" xfId="3559" xr:uid="{00000000-0005-0000-0000-00003C070000}"/>
    <cellStyle name="20% - Accent6 2 5 4 4" xfId="4846" xr:uid="{00000000-0005-0000-0000-00003D070000}"/>
    <cellStyle name="20% - Accent6 2 5 5" xfId="1429" xr:uid="{00000000-0005-0000-0000-00003E070000}"/>
    <cellStyle name="20% - Accent6 2 5 6" xfId="2707" xr:uid="{00000000-0005-0000-0000-00003F070000}"/>
    <cellStyle name="20% - Accent6 2 5 7" xfId="3994" xr:uid="{00000000-0005-0000-0000-000040070000}"/>
    <cellStyle name="20% - Accent6 2 6" xfId="279" xr:uid="{00000000-0005-0000-0000-000041070000}"/>
    <cellStyle name="20% - Accent6 2 6 2" xfId="492" xr:uid="{00000000-0005-0000-0000-000042070000}"/>
    <cellStyle name="20% - Accent6 2 6 2 2" xfId="917" xr:uid="{00000000-0005-0000-0000-000043070000}"/>
    <cellStyle name="20% - Accent6 2 6 2 2 2" xfId="2209" xr:uid="{00000000-0005-0000-0000-000044070000}"/>
    <cellStyle name="20% - Accent6 2 6 2 2 3" xfId="3487" xr:uid="{00000000-0005-0000-0000-000045070000}"/>
    <cellStyle name="20% - Accent6 2 6 2 2 4" xfId="4774" xr:uid="{00000000-0005-0000-0000-000046070000}"/>
    <cellStyle name="20% - Accent6 2 6 2 3" xfId="1343" xr:uid="{00000000-0005-0000-0000-000047070000}"/>
    <cellStyle name="20% - Accent6 2 6 2 3 2" xfId="2635" xr:uid="{00000000-0005-0000-0000-000048070000}"/>
    <cellStyle name="20% - Accent6 2 6 2 3 3" xfId="3913" xr:uid="{00000000-0005-0000-0000-000049070000}"/>
    <cellStyle name="20% - Accent6 2 6 2 3 4" xfId="5200" xr:uid="{00000000-0005-0000-0000-00004A070000}"/>
    <cellStyle name="20% - Accent6 2 6 2 4" xfId="1783" xr:uid="{00000000-0005-0000-0000-00004B070000}"/>
    <cellStyle name="20% - Accent6 2 6 2 5" xfId="3061" xr:uid="{00000000-0005-0000-0000-00004C070000}"/>
    <cellStyle name="20% - Accent6 2 6 2 6" xfId="4348" xr:uid="{00000000-0005-0000-0000-00004D070000}"/>
    <cellStyle name="20% - Accent6 2 6 3" xfId="704" xr:uid="{00000000-0005-0000-0000-00004E070000}"/>
    <cellStyle name="20% - Accent6 2 6 3 2" xfId="1996" xr:uid="{00000000-0005-0000-0000-00004F070000}"/>
    <cellStyle name="20% - Accent6 2 6 3 3" xfId="3274" xr:uid="{00000000-0005-0000-0000-000050070000}"/>
    <cellStyle name="20% - Accent6 2 6 3 4" xfId="4561" xr:uid="{00000000-0005-0000-0000-000051070000}"/>
    <cellStyle name="20% - Accent6 2 6 4" xfId="1130" xr:uid="{00000000-0005-0000-0000-000052070000}"/>
    <cellStyle name="20% - Accent6 2 6 4 2" xfId="2422" xr:uid="{00000000-0005-0000-0000-000053070000}"/>
    <cellStyle name="20% - Accent6 2 6 4 3" xfId="3700" xr:uid="{00000000-0005-0000-0000-000054070000}"/>
    <cellStyle name="20% - Accent6 2 6 4 4" xfId="4987" xr:uid="{00000000-0005-0000-0000-000055070000}"/>
    <cellStyle name="20% - Accent6 2 6 5" xfId="1570" xr:uid="{00000000-0005-0000-0000-000056070000}"/>
    <cellStyle name="20% - Accent6 2 6 6" xfId="2848" xr:uid="{00000000-0005-0000-0000-000057070000}"/>
    <cellStyle name="20% - Accent6 2 6 7" xfId="4135" xr:uid="{00000000-0005-0000-0000-000058070000}"/>
    <cellStyle name="20% - Accent6 2 7" xfId="345" xr:uid="{00000000-0005-0000-0000-000059070000}"/>
    <cellStyle name="20% - Accent6 2 7 2" xfId="771" xr:uid="{00000000-0005-0000-0000-00005A070000}"/>
    <cellStyle name="20% - Accent6 2 7 2 2" xfId="2063" xr:uid="{00000000-0005-0000-0000-00005B070000}"/>
    <cellStyle name="20% - Accent6 2 7 2 3" xfId="3341" xr:uid="{00000000-0005-0000-0000-00005C070000}"/>
    <cellStyle name="20% - Accent6 2 7 2 4" xfId="4628" xr:uid="{00000000-0005-0000-0000-00005D070000}"/>
    <cellStyle name="20% - Accent6 2 7 3" xfId="1197" xr:uid="{00000000-0005-0000-0000-00005E070000}"/>
    <cellStyle name="20% - Accent6 2 7 3 2" xfId="2489" xr:uid="{00000000-0005-0000-0000-00005F070000}"/>
    <cellStyle name="20% - Accent6 2 7 3 3" xfId="3767" xr:uid="{00000000-0005-0000-0000-000060070000}"/>
    <cellStyle name="20% - Accent6 2 7 3 4" xfId="5054" xr:uid="{00000000-0005-0000-0000-000061070000}"/>
    <cellStyle name="20% - Accent6 2 7 4" xfId="1637" xr:uid="{00000000-0005-0000-0000-000062070000}"/>
    <cellStyle name="20% - Accent6 2 7 5" xfId="2915" xr:uid="{00000000-0005-0000-0000-000063070000}"/>
    <cellStyle name="20% - Accent6 2 7 6" xfId="4202" xr:uid="{00000000-0005-0000-0000-000064070000}"/>
    <cellStyle name="20% - Accent6 2 8" xfId="558" xr:uid="{00000000-0005-0000-0000-000065070000}"/>
    <cellStyle name="20% - Accent6 2 8 2" xfId="1850" xr:uid="{00000000-0005-0000-0000-000066070000}"/>
    <cellStyle name="20% - Accent6 2 8 3" xfId="3128" xr:uid="{00000000-0005-0000-0000-000067070000}"/>
    <cellStyle name="20% - Accent6 2 8 4" xfId="4415" xr:uid="{00000000-0005-0000-0000-000068070000}"/>
    <cellStyle name="20% - Accent6 2 9" xfId="984" xr:uid="{00000000-0005-0000-0000-000069070000}"/>
    <cellStyle name="20% - Accent6 2 9 2" xfId="2276" xr:uid="{00000000-0005-0000-0000-00006A070000}"/>
    <cellStyle name="20% - Accent6 2 9 3" xfId="3554" xr:uid="{00000000-0005-0000-0000-00006B070000}"/>
    <cellStyle name="20% - Accent6 2 9 4" xfId="4841" xr:uid="{00000000-0005-0000-0000-00006C070000}"/>
    <cellStyle name="20% - Accent6 3" xfId="138" xr:uid="{00000000-0005-0000-0000-00006D070000}"/>
    <cellStyle name="20% - Accent6 3 2" xfId="139" xr:uid="{00000000-0005-0000-0000-00006E070000}"/>
    <cellStyle name="20% - Accent6 3 2 2" xfId="352" xr:uid="{00000000-0005-0000-0000-00006F070000}"/>
    <cellStyle name="20% - Accent6 3 2 2 2" xfId="778" xr:uid="{00000000-0005-0000-0000-000070070000}"/>
    <cellStyle name="20% - Accent6 3 2 2 2 2" xfId="2070" xr:uid="{00000000-0005-0000-0000-000071070000}"/>
    <cellStyle name="20% - Accent6 3 2 2 2 3" xfId="3348" xr:uid="{00000000-0005-0000-0000-000072070000}"/>
    <cellStyle name="20% - Accent6 3 2 2 2 4" xfId="4635" xr:uid="{00000000-0005-0000-0000-000073070000}"/>
    <cellStyle name="20% - Accent6 3 2 2 3" xfId="1204" xr:uid="{00000000-0005-0000-0000-000074070000}"/>
    <cellStyle name="20% - Accent6 3 2 2 3 2" xfId="2496" xr:uid="{00000000-0005-0000-0000-000075070000}"/>
    <cellStyle name="20% - Accent6 3 2 2 3 3" xfId="3774" xr:uid="{00000000-0005-0000-0000-000076070000}"/>
    <cellStyle name="20% - Accent6 3 2 2 3 4" xfId="5061" xr:uid="{00000000-0005-0000-0000-000077070000}"/>
    <cellStyle name="20% - Accent6 3 2 2 4" xfId="1644" xr:uid="{00000000-0005-0000-0000-000078070000}"/>
    <cellStyle name="20% - Accent6 3 2 2 5" xfId="2922" xr:uid="{00000000-0005-0000-0000-000079070000}"/>
    <cellStyle name="20% - Accent6 3 2 2 6" xfId="4209" xr:uid="{00000000-0005-0000-0000-00007A070000}"/>
    <cellStyle name="20% - Accent6 3 2 3" xfId="565" xr:uid="{00000000-0005-0000-0000-00007B070000}"/>
    <cellStyle name="20% - Accent6 3 2 3 2" xfId="1857" xr:uid="{00000000-0005-0000-0000-00007C070000}"/>
    <cellStyle name="20% - Accent6 3 2 3 3" xfId="3135" xr:uid="{00000000-0005-0000-0000-00007D070000}"/>
    <cellStyle name="20% - Accent6 3 2 3 4" xfId="4422" xr:uid="{00000000-0005-0000-0000-00007E070000}"/>
    <cellStyle name="20% - Accent6 3 2 4" xfId="991" xr:uid="{00000000-0005-0000-0000-00007F070000}"/>
    <cellStyle name="20% - Accent6 3 2 4 2" xfId="2283" xr:uid="{00000000-0005-0000-0000-000080070000}"/>
    <cellStyle name="20% - Accent6 3 2 4 3" xfId="3561" xr:uid="{00000000-0005-0000-0000-000081070000}"/>
    <cellStyle name="20% - Accent6 3 2 4 4" xfId="4848" xr:uid="{00000000-0005-0000-0000-000082070000}"/>
    <cellStyle name="20% - Accent6 3 2 5" xfId="1431" xr:uid="{00000000-0005-0000-0000-000083070000}"/>
    <cellStyle name="20% - Accent6 3 2 6" xfId="2709" xr:uid="{00000000-0005-0000-0000-000084070000}"/>
    <cellStyle name="20% - Accent6 3 2 7" xfId="3996" xr:uid="{00000000-0005-0000-0000-000085070000}"/>
    <cellStyle name="20% - Accent6 3 2 8" xfId="5252" xr:uid="{00000000-0005-0000-0000-000086070000}"/>
    <cellStyle name="20% - Accent6 3 3" xfId="351" xr:uid="{00000000-0005-0000-0000-000087070000}"/>
    <cellStyle name="20% - Accent6 3 3 2" xfId="777" xr:uid="{00000000-0005-0000-0000-000088070000}"/>
    <cellStyle name="20% - Accent6 3 3 2 2" xfId="2069" xr:uid="{00000000-0005-0000-0000-000089070000}"/>
    <cellStyle name="20% - Accent6 3 3 2 3" xfId="3347" xr:uid="{00000000-0005-0000-0000-00008A070000}"/>
    <cellStyle name="20% - Accent6 3 3 2 4" xfId="4634" xr:uid="{00000000-0005-0000-0000-00008B070000}"/>
    <cellStyle name="20% - Accent6 3 3 3" xfId="1203" xr:uid="{00000000-0005-0000-0000-00008C070000}"/>
    <cellStyle name="20% - Accent6 3 3 3 2" xfId="2495" xr:uid="{00000000-0005-0000-0000-00008D070000}"/>
    <cellStyle name="20% - Accent6 3 3 3 3" xfId="3773" xr:uid="{00000000-0005-0000-0000-00008E070000}"/>
    <cellStyle name="20% - Accent6 3 3 3 4" xfId="5060" xr:uid="{00000000-0005-0000-0000-00008F070000}"/>
    <cellStyle name="20% - Accent6 3 3 4" xfId="1643" xr:uid="{00000000-0005-0000-0000-000090070000}"/>
    <cellStyle name="20% - Accent6 3 3 5" xfId="2921" xr:uid="{00000000-0005-0000-0000-000091070000}"/>
    <cellStyle name="20% - Accent6 3 3 6" xfId="4208" xr:uid="{00000000-0005-0000-0000-000092070000}"/>
    <cellStyle name="20% - Accent6 3 4" xfId="564" xr:uid="{00000000-0005-0000-0000-000093070000}"/>
    <cellStyle name="20% - Accent6 3 4 2" xfId="1856" xr:uid="{00000000-0005-0000-0000-000094070000}"/>
    <cellStyle name="20% - Accent6 3 4 3" xfId="3134" xr:uid="{00000000-0005-0000-0000-000095070000}"/>
    <cellStyle name="20% - Accent6 3 4 4" xfId="4421" xr:uid="{00000000-0005-0000-0000-000096070000}"/>
    <cellStyle name="20% - Accent6 3 5" xfId="990" xr:uid="{00000000-0005-0000-0000-000097070000}"/>
    <cellStyle name="20% - Accent6 3 5 2" xfId="2282" xr:uid="{00000000-0005-0000-0000-000098070000}"/>
    <cellStyle name="20% - Accent6 3 5 3" xfId="3560" xr:uid="{00000000-0005-0000-0000-000099070000}"/>
    <cellStyle name="20% - Accent6 3 5 4" xfId="4847" xr:uid="{00000000-0005-0000-0000-00009A070000}"/>
    <cellStyle name="20% - Accent6 3 6" xfId="1430" xr:uid="{00000000-0005-0000-0000-00009B070000}"/>
    <cellStyle name="20% - Accent6 3 7" xfId="2708" xr:uid="{00000000-0005-0000-0000-00009C070000}"/>
    <cellStyle name="20% - Accent6 3 8" xfId="3995" xr:uid="{00000000-0005-0000-0000-00009D070000}"/>
    <cellStyle name="20% - Accent6 3 9" xfId="5251" xr:uid="{00000000-0005-0000-0000-00009E070000}"/>
    <cellStyle name="20% - Accent6 4" xfId="140" xr:uid="{00000000-0005-0000-0000-00009F070000}"/>
    <cellStyle name="20% - Accent6 4 2" xfId="353" xr:uid="{00000000-0005-0000-0000-0000A0070000}"/>
    <cellStyle name="20% - Accent6 4 2 2" xfId="779" xr:uid="{00000000-0005-0000-0000-0000A1070000}"/>
    <cellStyle name="20% - Accent6 4 2 2 2" xfId="2071" xr:uid="{00000000-0005-0000-0000-0000A2070000}"/>
    <cellStyle name="20% - Accent6 4 2 2 3" xfId="3349" xr:uid="{00000000-0005-0000-0000-0000A3070000}"/>
    <cellStyle name="20% - Accent6 4 2 2 4" xfId="4636" xr:uid="{00000000-0005-0000-0000-0000A4070000}"/>
    <cellStyle name="20% - Accent6 4 2 3" xfId="1205" xr:uid="{00000000-0005-0000-0000-0000A5070000}"/>
    <cellStyle name="20% - Accent6 4 2 3 2" xfId="2497" xr:uid="{00000000-0005-0000-0000-0000A6070000}"/>
    <cellStyle name="20% - Accent6 4 2 3 3" xfId="3775" xr:uid="{00000000-0005-0000-0000-0000A7070000}"/>
    <cellStyle name="20% - Accent6 4 2 3 4" xfId="5062" xr:uid="{00000000-0005-0000-0000-0000A8070000}"/>
    <cellStyle name="20% - Accent6 4 2 4" xfId="1645" xr:uid="{00000000-0005-0000-0000-0000A9070000}"/>
    <cellStyle name="20% - Accent6 4 2 5" xfId="2923" xr:uid="{00000000-0005-0000-0000-0000AA070000}"/>
    <cellStyle name="20% - Accent6 4 2 6" xfId="4210" xr:uid="{00000000-0005-0000-0000-0000AB070000}"/>
    <cellStyle name="20% - Accent6 4 3" xfId="566" xr:uid="{00000000-0005-0000-0000-0000AC070000}"/>
    <cellStyle name="20% - Accent6 4 3 2" xfId="1858" xr:uid="{00000000-0005-0000-0000-0000AD070000}"/>
    <cellStyle name="20% - Accent6 4 3 3" xfId="3136" xr:uid="{00000000-0005-0000-0000-0000AE070000}"/>
    <cellStyle name="20% - Accent6 4 3 4" xfId="4423" xr:uid="{00000000-0005-0000-0000-0000AF070000}"/>
    <cellStyle name="20% - Accent6 4 4" xfId="992" xr:uid="{00000000-0005-0000-0000-0000B0070000}"/>
    <cellStyle name="20% - Accent6 4 4 2" xfId="2284" xr:uid="{00000000-0005-0000-0000-0000B1070000}"/>
    <cellStyle name="20% - Accent6 4 4 3" xfId="3562" xr:uid="{00000000-0005-0000-0000-0000B2070000}"/>
    <cellStyle name="20% - Accent6 4 4 4" xfId="4849" xr:uid="{00000000-0005-0000-0000-0000B3070000}"/>
    <cellStyle name="20% - Accent6 4 5" xfId="1432" xr:uid="{00000000-0005-0000-0000-0000B4070000}"/>
    <cellStyle name="20% - Accent6 4 6" xfId="2710" xr:uid="{00000000-0005-0000-0000-0000B5070000}"/>
    <cellStyle name="20% - Accent6 4 7" xfId="3997" xr:uid="{00000000-0005-0000-0000-0000B6070000}"/>
    <cellStyle name="20% - Accent6 4 8" xfId="5253" xr:uid="{00000000-0005-0000-0000-0000B7070000}"/>
    <cellStyle name="20% - Accent6 5" xfId="141" xr:uid="{00000000-0005-0000-0000-0000B8070000}"/>
    <cellStyle name="20% - Accent6 5 2" xfId="354" xr:uid="{00000000-0005-0000-0000-0000B9070000}"/>
    <cellStyle name="20% - Accent6 5 2 2" xfId="780" xr:uid="{00000000-0005-0000-0000-0000BA070000}"/>
    <cellStyle name="20% - Accent6 5 2 2 2" xfId="2072" xr:uid="{00000000-0005-0000-0000-0000BB070000}"/>
    <cellStyle name="20% - Accent6 5 2 2 3" xfId="3350" xr:uid="{00000000-0005-0000-0000-0000BC070000}"/>
    <cellStyle name="20% - Accent6 5 2 2 4" xfId="4637" xr:uid="{00000000-0005-0000-0000-0000BD070000}"/>
    <cellStyle name="20% - Accent6 5 2 3" xfId="1206" xr:uid="{00000000-0005-0000-0000-0000BE070000}"/>
    <cellStyle name="20% - Accent6 5 2 3 2" xfId="2498" xr:uid="{00000000-0005-0000-0000-0000BF070000}"/>
    <cellStyle name="20% - Accent6 5 2 3 3" xfId="3776" xr:uid="{00000000-0005-0000-0000-0000C0070000}"/>
    <cellStyle name="20% - Accent6 5 2 3 4" xfId="5063" xr:uid="{00000000-0005-0000-0000-0000C1070000}"/>
    <cellStyle name="20% - Accent6 5 2 4" xfId="1646" xr:uid="{00000000-0005-0000-0000-0000C2070000}"/>
    <cellStyle name="20% - Accent6 5 2 5" xfId="2924" xr:uid="{00000000-0005-0000-0000-0000C3070000}"/>
    <cellStyle name="20% - Accent6 5 2 6" xfId="4211" xr:uid="{00000000-0005-0000-0000-0000C4070000}"/>
    <cellStyle name="20% - Accent6 5 3" xfId="567" xr:uid="{00000000-0005-0000-0000-0000C5070000}"/>
    <cellStyle name="20% - Accent6 5 3 2" xfId="1859" xr:uid="{00000000-0005-0000-0000-0000C6070000}"/>
    <cellStyle name="20% - Accent6 5 3 3" xfId="3137" xr:uid="{00000000-0005-0000-0000-0000C7070000}"/>
    <cellStyle name="20% - Accent6 5 3 4" xfId="4424" xr:uid="{00000000-0005-0000-0000-0000C8070000}"/>
    <cellStyle name="20% - Accent6 5 4" xfId="993" xr:uid="{00000000-0005-0000-0000-0000C9070000}"/>
    <cellStyle name="20% - Accent6 5 4 2" xfId="2285" xr:uid="{00000000-0005-0000-0000-0000CA070000}"/>
    <cellStyle name="20% - Accent6 5 4 3" xfId="3563" xr:uid="{00000000-0005-0000-0000-0000CB070000}"/>
    <cellStyle name="20% - Accent6 5 4 4" xfId="4850" xr:uid="{00000000-0005-0000-0000-0000CC070000}"/>
    <cellStyle name="20% - Accent6 5 5" xfId="1433" xr:uid="{00000000-0005-0000-0000-0000CD070000}"/>
    <cellStyle name="20% - Accent6 5 6" xfId="2711" xr:uid="{00000000-0005-0000-0000-0000CE070000}"/>
    <cellStyle name="20% - Accent6 5 7" xfId="3998" xr:uid="{00000000-0005-0000-0000-0000CF070000}"/>
    <cellStyle name="20% - Accent6 6" xfId="142" xr:uid="{00000000-0005-0000-0000-0000D0070000}"/>
    <cellStyle name="20% - Accent6 6 2" xfId="355" xr:uid="{00000000-0005-0000-0000-0000D1070000}"/>
    <cellStyle name="20% - Accent6 6 2 2" xfId="781" xr:uid="{00000000-0005-0000-0000-0000D2070000}"/>
    <cellStyle name="20% - Accent6 6 2 2 2" xfId="2073" xr:uid="{00000000-0005-0000-0000-0000D3070000}"/>
    <cellStyle name="20% - Accent6 6 2 2 3" xfId="3351" xr:uid="{00000000-0005-0000-0000-0000D4070000}"/>
    <cellStyle name="20% - Accent6 6 2 2 4" xfId="4638" xr:uid="{00000000-0005-0000-0000-0000D5070000}"/>
    <cellStyle name="20% - Accent6 6 2 3" xfId="1207" xr:uid="{00000000-0005-0000-0000-0000D6070000}"/>
    <cellStyle name="20% - Accent6 6 2 3 2" xfId="2499" xr:uid="{00000000-0005-0000-0000-0000D7070000}"/>
    <cellStyle name="20% - Accent6 6 2 3 3" xfId="3777" xr:uid="{00000000-0005-0000-0000-0000D8070000}"/>
    <cellStyle name="20% - Accent6 6 2 3 4" xfId="5064" xr:uid="{00000000-0005-0000-0000-0000D9070000}"/>
    <cellStyle name="20% - Accent6 6 2 4" xfId="1647" xr:uid="{00000000-0005-0000-0000-0000DA070000}"/>
    <cellStyle name="20% - Accent6 6 2 5" xfId="2925" xr:uid="{00000000-0005-0000-0000-0000DB070000}"/>
    <cellStyle name="20% - Accent6 6 2 6" xfId="4212" xr:uid="{00000000-0005-0000-0000-0000DC070000}"/>
    <cellStyle name="20% - Accent6 6 3" xfId="568" xr:uid="{00000000-0005-0000-0000-0000DD070000}"/>
    <cellStyle name="20% - Accent6 6 3 2" xfId="1860" xr:uid="{00000000-0005-0000-0000-0000DE070000}"/>
    <cellStyle name="20% - Accent6 6 3 3" xfId="3138" xr:uid="{00000000-0005-0000-0000-0000DF070000}"/>
    <cellStyle name="20% - Accent6 6 3 4" xfId="4425" xr:uid="{00000000-0005-0000-0000-0000E0070000}"/>
    <cellStyle name="20% - Accent6 6 4" xfId="994" xr:uid="{00000000-0005-0000-0000-0000E1070000}"/>
    <cellStyle name="20% - Accent6 6 4 2" xfId="2286" xr:uid="{00000000-0005-0000-0000-0000E2070000}"/>
    <cellStyle name="20% - Accent6 6 4 3" xfId="3564" xr:uid="{00000000-0005-0000-0000-0000E3070000}"/>
    <cellStyle name="20% - Accent6 6 4 4" xfId="4851" xr:uid="{00000000-0005-0000-0000-0000E4070000}"/>
    <cellStyle name="20% - Accent6 6 5" xfId="1434" xr:uid="{00000000-0005-0000-0000-0000E5070000}"/>
    <cellStyle name="20% - Accent6 6 6" xfId="2712" xr:uid="{00000000-0005-0000-0000-0000E6070000}"/>
    <cellStyle name="20% - Accent6 6 7" xfId="3999" xr:uid="{00000000-0005-0000-0000-0000E7070000}"/>
    <cellStyle name="20% - Accent6 7" xfId="259" xr:uid="{00000000-0005-0000-0000-0000E8070000}"/>
    <cellStyle name="20% - Accent6 7 2" xfId="472" xr:uid="{00000000-0005-0000-0000-0000E9070000}"/>
    <cellStyle name="20% - Accent6 7 2 2" xfId="897" xr:uid="{00000000-0005-0000-0000-0000EA070000}"/>
    <cellStyle name="20% - Accent6 7 2 2 2" xfId="2189" xr:uid="{00000000-0005-0000-0000-0000EB070000}"/>
    <cellStyle name="20% - Accent6 7 2 2 3" xfId="3467" xr:uid="{00000000-0005-0000-0000-0000EC070000}"/>
    <cellStyle name="20% - Accent6 7 2 2 4" xfId="4754" xr:uid="{00000000-0005-0000-0000-0000ED070000}"/>
    <cellStyle name="20% - Accent6 7 2 3" xfId="1323" xr:uid="{00000000-0005-0000-0000-0000EE070000}"/>
    <cellStyle name="20% - Accent6 7 2 3 2" xfId="2615" xr:uid="{00000000-0005-0000-0000-0000EF070000}"/>
    <cellStyle name="20% - Accent6 7 2 3 3" xfId="3893" xr:uid="{00000000-0005-0000-0000-0000F0070000}"/>
    <cellStyle name="20% - Accent6 7 2 3 4" xfId="5180" xr:uid="{00000000-0005-0000-0000-0000F1070000}"/>
    <cellStyle name="20% - Accent6 7 2 4" xfId="1763" xr:uid="{00000000-0005-0000-0000-0000F2070000}"/>
    <cellStyle name="20% - Accent6 7 2 5" xfId="3041" xr:uid="{00000000-0005-0000-0000-0000F3070000}"/>
    <cellStyle name="20% - Accent6 7 2 6" xfId="4328" xr:uid="{00000000-0005-0000-0000-0000F4070000}"/>
    <cellStyle name="20% - Accent6 7 3" xfId="684" xr:uid="{00000000-0005-0000-0000-0000F5070000}"/>
    <cellStyle name="20% - Accent6 7 3 2" xfId="1976" xr:uid="{00000000-0005-0000-0000-0000F6070000}"/>
    <cellStyle name="20% - Accent6 7 3 3" xfId="3254" xr:uid="{00000000-0005-0000-0000-0000F7070000}"/>
    <cellStyle name="20% - Accent6 7 3 4" xfId="4541" xr:uid="{00000000-0005-0000-0000-0000F8070000}"/>
    <cellStyle name="20% - Accent6 7 4" xfId="1110" xr:uid="{00000000-0005-0000-0000-0000F9070000}"/>
    <cellStyle name="20% - Accent6 7 4 2" xfId="2402" xr:uid="{00000000-0005-0000-0000-0000FA070000}"/>
    <cellStyle name="20% - Accent6 7 4 3" xfId="3680" xr:uid="{00000000-0005-0000-0000-0000FB070000}"/>
    <cellStyle name="20% - Accent6 7 4 4" xfId="4967" xr:uid="{00000000-0005-0000-0000-0000FC070000}"/>
    <cellStyle name="20% - Accent6 7 5" xfId="1550" xr:uid="{00000000-0005-0000-0000-0000FD070000}"/>
    <cellStyle name="20% - Accent6 7 6" xfId="2828" xr:uid="{00000000-0005-0000-0000-0000FE070000}"/>
    <cellStyle name="20% - Accent6 7 7" xfId="4115" xr:uid="{00000000-0005-0000-0000-0000FF070000}"/>
    <cellStyle name="20% - Accent6 8" xfId="344" xr:uid="{00000000-0005-0000-0000-000000080000}"/>
    <cellStyle name="20% - Accent6 8 2" xfId="770" xr:uid="{00000000-0005-0000-0000-000001080000}"/>
    <cellStyle name="20% - Accent6 8 2 2" xfId="2062" xr:uid="{00000000-0005-0000-0000-000002080000}"/>
    <cellStyle name="20% - Accent6 8 2 3" xfId="3340" xr:uid="{00000000-0005-0000-0000-000003080000}"/>
    <cellStyle name="20% - Accent6 8 2 4" xfId="4627" xr:uid="{00000000-0005-0000-0000-000004080000}"/>
    <cellStyle name="20% - Accent6 8 3" xfId="1196" xr:uid="{00000000-0005-0000-0000-000005080000}"/>
    <cellStyle name="20% - Accent6 8 3 2" xfId="2488" xr:uid="{00000000-0005-0000-0000-000006080000}"/>
    <cellStyle name="20% - Accent6 8 3 3" xfId="3766" xr:uid="{00000000-0005-0000-0000-000007080000}"/>
    <cellStyle name="20% - Accent6 8 3 4" xfId="5053" xr:uid="{00000000-0005-0000-0000-000008080000}"/>
    <cellStyle name="20% - Accent6 8 4" xfId="1636" xr:uid="{00000000-0005-0000-0000-000009080000}"/>
    <cellStyle name="20% - Accent6 8 5" xfId="2914" xr:uid="{00000000-0005-0000-0000-00000A080000}"/>
    <cellStyle name="20% - Accent6 8 6" xfId="4201" xr:uid="{00000000-0005-0000-0000-00000B080000}"/>
    <cellStyle name="20% - Accent6 9" xfId="557" xr:uid="{00000000-0005-0000-0000-00000C080000}"/>
    <cellStyle name="20% - Accent6 9 2" xfId="1849" xr:uid="{00000000-0005-0000-0000-00000D080000}"/>
    <cellStyle name="20% - Accent6 9 3" xfId="3127" xr:uid="{00000000-0005-0000-0000-00000E080000}"/>
    <cellStyle name="20% - Accent6 9 4" xfId="4414" xr:uid="{00000000-0005-0000-0000-00000F080000}"/>
    <cellStyle name="40% - Accent1" xfId="59" builtinId="31" customBuiltin="1"/>
    <cellStyle name="40% - Accent1 10" xfId="995" xr:uid="{00000000-0005-0000-0000-000011080000}"/>
    <cellStyle name="40% - Accent1 10 2" xfId="2287" xr:uid="{00000000-0005-0000-0000-000012080000}"/>
    <cellStyle name="40% - Accent1 10 3" xfId="3565" xr:uid="{00000000-0005-0000-0000-000013080000}"/>
    <cellStyle name="40% - Accent1 10 4" xfId="4852" xr:uid="{00000000-0005-0000-0000-000014080000}"/>
    <cellStyle name="40% - Accent1 11" xfId="1435" xr:uid="{00000000-0005-0000-0000-000015080000}"/>
    <cellStyle name="40% - Accent1 12" xfId="2713" xr:uid="{00000000-0005-0000-0000-000016080000}"/>
    <cellStyle name="40% - Accent1 13" xfId="4000" xr:uid="{00000000-0005-0000-0000-000017080000}"/>
    <cellStyle name="40% - Accent1 14" xfId="5254" xr:uid="{00000000-0005-0000-0000-000018080000}"/>
    <cellStyle name="40% - Accent1 2" xfId="16" xr:uid="{00000000-0005-0000-0000-000019080000}"/>
    <cellStyle name="40% - Accent1 2 10" xfId="1436" xr:uid="{00000000-0005-0000-0000-00001A080000}"/>
    <cellStyle name="40% - Accent1 2 11" xfId="2714" xr:uid="{00000000-0005-0000-0000-00001B080000}"/>
    <cellStyle name="40% - Accent1 2 12" xfId="4001" xr:uid="{00000000-0005-0000-0000-00001C080000}"/>
    <cellStyle name="40% - Accent1 2 13" xfId="5255" xr:uid="{00000000-0005-0000-0000-00001D080000}"/>
    <cellStyle name="40% - Accent1 2 2" xfId="143" xr:uid="{00000000-0005-0000-0000-00001E080000}"/>
    <cellStyle name="40% - Accent1 2 2 2" xfId="144" xr:uid="{00000000-0005-0000-0000-00001F080000}"/>
    <cellStyle name="40% - Accent1 2 2 2 2" xfId="359" xr:uid="{00000000-0005-0000-0000-000020080000}"/>
    <cellStyle name="40% - Accent1 2 2 2 2 2" xfId="785" xr:uid="{00000000-0005-0000-0000-000021080000}"/>
    <cellStyle name="40% - Accent1 2 2 2 2 2 2" xfId="2077" xr:uid="{00000000-0005-0000-0000-000022080000}"/>
    <cellStyle name="40% - Accent1 2 2 2 2 2 3" xfId="3355" xr:uid="{00000000-0005-0000-0000-000023080000}"/>
    <cellStyle name="40% - Accent1 2 2 2 2 2 4" xfId="4642" xr:uid="{00000000-0005-0000-0000-000024080000}"/>
    <cellStyle name="40% - Accent1 2 2 2 2 3" xfId="1211" xr:uid="{00000000-0005-0000-0000-000025080000}"/>
    <cellStyle name="40% - Accent1 2 2 2 2 3 2" xfId="2503" xr:uid="{00000000-0005-0000-0000-000026080000}"/>
    <cellStyle name="40% - Accent1 2 2 2 2 3 3" xfId="3781" xr:uid="{00000000-0005-0000-0000-000027080000}"/>
    <cellStyle name="40% - Accent1 2 2 2 2 3 4" xfId="5068" xr:uid="{00000000-0005-0000-0000-000028080000}"/>
    <cellStyle name="40% - Accent1 2 2 2 2 4" xfId="1651" xr:uid="{00000000-0005-0000-0000-000029080000}"/>
    <cellStyle name="40% - Accent1 2 2 2 2 5" xfId="2929" xr:uid="{00000000-0005-0000-0000-00002A080000}"/>
    <cellStyle name="40% - Accent1 2 2 2 2 6" xfId="4216" xr:uid="{00000000-0005-0000-0000-00002B080000}"/>
    <cellStyle name="40% - Accent1 2 2 2 3" xfId="572" xr:uid="{00000000-0005-0000-0000-00002C080000}"/>
    <cellStyle name="40% - Accent1 2 2 2 3 2" xfId="1864" xr:uid="{00000000-0005-0000-0000-00002D080000}"/>
    <cellStyle name="40% - Accent1 2 2 2 3 3" xfId="3142" xr:uid="{00000000-0005-0000-0000-00002E080000}"/>
    <cellStyle name="40% - Accent1 2 2 2 3 4" xfId="4429" xr:uid="{00000000-0005-0000-0000-00002F080000}"/>
    <cellStyle name="40% - Accent1 2 2 2 4" xfId="998" xr:uid="{00000000-0005-0000-0000-000030080000}"/>
    <cellStyle name="40% - Accent1 2 2 2 4 2" xfId="2290" xr:uid="{00000000-0005-0000-0000-000031080000}"/>
    <cellStyle name="40% - Accent1 2 2 2 4 3" xfId="3568" xr:uid="{00000000-0005-0000-0000-000032080000}"/>
    <cellStyle name="40% - Accent1 2 2 2 4 4" xfId="4855" xr:uid="{00000000-0005-0000-0000-000033080000}"/>
    <cellStyle name="40% - Accent1 2 2 2 5" xfId="1438" xr:uid="{00000000-0005-0000-0000-000034080000}"/>
    <cellStyle name="40% - Accent1 2 2 2 6" xfId="2716" xr:uid="{00000000-0005-0000-0000-000035080000}"/>
    <cellStyle name="40% - Accent1 2 2 2 7" xfId="4003" xr:uid="{00000000-0005-0000-0000-000036080000}"/>
    <cellStyle name="40% - Accent1 2 2 2 8" xfId="5257" xr:uid="{00000000-0005-0000-0000-000037080000}"/>
    <cellStyle name="40% - Accent1 2 2 3" xfId="358" xr:uid="{00000000-0005-0000-0000-000038080000}"/>
    <cellStyle name="40% - Accent1 2 2 3 2" xfId="784" xr:uid="{00000000-0005-0000-0000-000039080000}"/>
    <cellStyle name="40% - Accent1 2 2 3 2 2" xfId="2076" xr:uid="{00000000-0005-0000-0000-00003A080000}"/>
    <cellStyle name="40% - Accent1 2 2 3 2 3" xfId="3354" xr:uid="{00000000-0005-0000-0000-00003B080000}"/>
    <cellStyle name="40% - Accent1 2 2 3 2 4" xfId="4641" xr:uid="{00000000-0005-0000-0000-00003C080000}"/>
    <cellStyle name="40% - Accent1 2 2 3 3" xfId="1210" xr:uid="{00000000-0005-0000-0000-00003D080000}"/>
    <cellStyle name="40% - Accent1 2 2 3 3 2" xfId="2502" xr:uid="{00000000-0005-0000-0000-00003E080000}"/>
    <cellStyle name="40% - Accent1 2 2 3 3 3" xfId="3780" xr:uid="{00000000-0005-0000-0000-00003F080000}"/>
    <cellStyle name="40% - Accent1 2 2 3 3 4" xfId="5067" xr:uid="{00000000-0005-0000-0000-000040080000}"/>
    <cellStyle name="40% - Accent1 2 2 3 4" xfId="1650" xr:uid="{00000000-0005-0000-0000-000041080000}"/>
    <cellStyle name="40% - Accent1 2 2 3 5" xfId="2928" xr:uid="{00000000-0005-0000-0000-000042080000}"/>
    <cellStyle name="40% - Accent1 2 2 3 6" xfId="4215" xr:uid="{00000000-0005-0000-0000-000043080000}"/>
    <cellStyle name="40% - Accent1 2 2 4" xfId="571" xr:uid="{00000000-0005-0000-0000-000044080000}"/>
    <cellStyle name="40% - Accent1 2 2 4 2" xfId="1863" xr:uid="{00000000-0005-0000-0000-000045080000}"/>
    <cellStyle name="40% - Accent1 2 2 4 3" xfId="3141" xr:uid="{00000000-0005-0000-0000-000046080000}"/>
    <cellStyle name="40% - Accent1 2 2 4 4" xfId="4428" xr:uid="{00000000-0005-0000-0000-000047080000}"/>
    <cellStyle name="40% - Accent1 2 2 5" xfId="997" xr:uid="{00000000-0005-0000-0000-000048080000}"/>
    <cellStyle name="40% - Accent1 2 2 5 2" xfId="2289" xr:uid="{00000000-0005-0000-0000-000049080000}"/>
    <cellStyle name="40% - Accent1 2 2 5 3" xfId="3567" xr:uid="{00000000-0005-0000-0000-00004A080000}"/>
    <cellStyle name="40% - Accent1 2 2 5 4" xfId="4854" xr:uid="{00000000-0005-0000-0000-00004B080000}"/>
    <cellStyle name="40% - Accent1 2 2 6" xfId="1437" xr:uid="{00000000-0005-0000-0000-00004C080000}"/>
    <cellStyle name="40% - Accent1 2 2 7" xfId="2715" xr:uid="{00000000-0005-0000-0000-00004D080000}"/>
    <cellStyle name="40% - Accent1 2 2 8" xfId="4002" xr:uid="{00000000-0005-0000-0000-00004E080000}"/>
    <cellStyle name="40% - Accent1 2 2 9" xfId="5256" xr:uid="{00000000-0005-0000-0000-00004F080000}"/>
    <cellStyle name="40% - Accent1 2 3" xfId="145" xr:uid="{00000000-0005-0000-0000-000050080000}"/>
    <cellStyle name="40% - Accent1 2 3 2" xfId="360" xr:uid="{00000000-0005-0000-0000-000051080000}"/>
    <cellStyle name="40% - Accent1 2 3 2 2" xfId="786" xr:uid="{00000000-0005-0000-0000-000052080000}"/>
    <cellStyle name="40% - Accent1 2 3 2 2 2" xfId="2078" xr:uid="{00000000-0005-0000-0000-000053080000}"/>
    <cellStyle name="40% - Accent1 2 3 2 2 3" xfId="3356" xr:uid="{00000000-0005-0000-0000-000054080000}"/>
    <cellStyle name="40% - Accent1 2 3 2 2 4" xfId="4643" xr:uid="{00000000-0005-0000-0000-000055080000}"/>
    <cellStyle name="40% - Accent1 2 3 2 3" xfId="1212" xr:uid="{00000000-0005-0000-0000-000056080000}"/>
    <cellStyle name="40% - Accent1 2 3 2 3 2" xfId="2504" xr:uid="{00000000-0005-0000-0000-000057080000}"/>
    <cellStyle name="40% - Accent1 2 3 2 3 3" xfId="3782" xr:uid="{00000000-0005-0000-0000-000058080000}"/>
    <cellStyle name="40% - Accent1 2 3 2 3 4" xfId="5069" xr:uid="{00000000-0005-0000-0000-000059080000}"/>
    <cellStyle name="40% - Accent1 2 3 2 4" xfId="1652" xr:uid="{00000000-0005-0000-0000-00005A080000}"/>
    <cellStyle name="40% - Accent1 2 3 2 5" xfId="2930" xr:uid="{00000000-0005-0000-0000-00005B080000}"/>
    <cellStyle name="40% - Accent1 2 3 2 6" xfId="4217" xr:uid="{00000000-0005-0000-0000-00005C080000}"/>
    <cellStyle name="40% - Accent1 2 3 3" xfId="573" xr:uid="{00000000-0005-0000-0000-00005D080000}"/>
    <cellStyle name="40% - Accent1 2 3 3 2" xfId="1865" xr:uid="{00000000-0005-0000-0000-00005E080000}"/>
    <cellStyle name="40% - Accent1 2 3 3 3" xfId="3143" xr:uid="{00000000-0005-0000-0000-00005F080000}"/>
    <cellStyle name="40% - Accent1 2 3 3 4" xfId="4430" xr:uid="{00000000-0005-0000-0000-000060080000}"/>
    <cellStyle name="40% - Accent1 2 3 4" xfId="999" xr:uid="{00000000-0005-0000-0000-000061080000}"/>
    <cellStyle name="40% - Accent1 2 3 4 2" xfId="2291" xr:uid="{00000000-0005-0000-0000-000062080000}"/>
    <cellStyle name="40% - Accent1 2 3 4 3" xfId="3569" xr:uid="{00000000-0005-0000-0000-000063080000}"/>
    <cellStyle name="40% - Accent1 2 3 4 4" xfId="4856" xr:uid="{00000000-0005-0000-0000-000064080000}"/>
    <cellStyle name="40% - Accent1 2 3 5" xfId="1439" xr:uid="{00000000-0005-0000-0000-000065080000}"/>
    <cellStyle name="40% - Accent1 2 3 6" xfId="2717" xr:uid="{00000000-0005-0000-0000-000066080000}"/>
    <cellStyle name="40% - Accent1 2 3 7" xfId="4004" xr:uid="{00000000-0005-0000-0000-000067080000}"/>
    <cellStyle name="40% - Accent1 2 3 8" xfId="5258" xr:uid="{00000000-0005-0000-0000-000068080000}"/>
    <cellStyle name="40% - Accent1 2 4" xfId="146" xr:uid="{00000000-0005-0000-0000-000069080000}"/>
    <cellStyle name="40% - Accent1 2 4 2" xfId="361" xr:uid="{00000000-0005-0000-0000-00006A080000}"/>
    <cellStyle name="40% - Accent1 2 4 2 2" xfId="787" xr:uid="{00000000-0005-0000-0000-00006B080000}"/>
    <cellStyle name="40% - Accent1 2 4 2 2 2" xfId="2079" xr:uid="{00000000-0005-0000-0000-00006C080000}"/>
    <cellStyle name="40% - Accent1 2 4 2 2 3" xfId="3357" xr:uid="{00000000-0005-0000-0000-00006D080000}"/>
    <cellStyle name="40% - Accent1 2 4 2 2 4" xfId="4644" xr:uid="{00000000-0005-0000-0000-00006E080000}"/>
    <cellStyle name="40% - Accent1 2 4 2 3" xfId="1213" xr:uid="{00000000-0005-0000-0000-00006F080000}"/>
    <cellStyle name="40% - Accent1 2 4 2 3 2" xfId="2505" xr:uid="{00000000-0005-0000-0000-000070080000}"/>
    <cellStyle name="40% - Accent1 2 4 2 3 3" xfId="3783" xr:uid="{00000000-0005-0000-0000-000071080000}"/>
    <cellStyle name="40% - Accent1 2 4 2 3 4" xfId="5070" xr:uid="{00000000-0005-0000-0000-000072080000}"/>
    <cellStyle name="40% - Accent1 2 4 2 4" xfId="1653" xr:uid="{00000000-0005-0000-0000-000073080000}"/>
    <cellStyle name="40% - Accent1 2 4 2 5" xfId="2931" xr:uid="{00000000-0005-0000-0000-000074080000}"/>
    <cellStyle name="40% - Accent1 2 4 2 6" xfId="4218" xr:uid="{00000000-0005-0000-0000-000075080000}"/>
    <cellStyle name="40% - Accent1 2 4 3" xfId="574" xr:uid="{00000000-0005-0000-0000-000076080000}"/>
    <cellStyle name="40% - Accent1 2 4 3 2" xfId="1866" xr:uid="{00000000-0005-0000-0000-000077080000}"/>
    <cellStyle name="40% - Accent1 2 4 3 3" xfId="3144" xr:uid="{00000000-0005-0000-0000-000078080000}"/>
    <cellStyle name="40% - Accent1 2 4 3 4" xfId="4431" xr:uid="{00000000-0005-0000-0000-000079080000}"/>
    <cellStyle name="40% - Accent1 2 4 4" xfId="1000" xr:uid="{00000000-0005-0000-0000-00007A080000}"/>
    <cellStyle name="40% - Accent1 2 4 4 2" xfId="2292" xr:uid="{00000000-0005-0000-0000-00007B080000}"/>
    <cellStyle name="40% - Accent1 2 4 4 3" xfId="3570" xr:uid="{00000000-0005-0000-0000-00007C080000}"/>
    <cellStyle name="40% - Accent1 2 4 4 4" xfId="4857" xr:uid="{00000000-0005-0000-0000-00007D080000}"/>
    <cellStyle name="40% - Accent1 2 4 5" xfId="1440" xr:uid="{00000000-0005-0000-0000-00007E080000}"/>
    <cellStyle name="40% - Accent1 2 4 6" xfId="2718" xr:uid="{00000000-0005-0000-0000-00007F080000}"/>
    <cellStyle name="40% - Accent1 2 4 7" xfId="4005" xr:uid="{00000000-0005-0000-0000-000080080000}"/>
    <cellStyle name="40% - Accent1 2 5" xfId="147" xr:uid="{00000000-0005-0000-0000-000081080000}"/>
    <cellStyle name="40% - Accent1 2 5 2" xfId="362" xr:uid="{00000000-0005-0000-0000-000082080000}"/>
    <cellStyle name="40% - Accent1 2 5 2 2" xfId="788" xr:uid="{00000000-0005-0000-0000-000083080000}"/>
    <cellStyle name="40% - Accent1 2 5 2 2 2" xfId="2080" xr:uid="{00000000-0005-0000-0000-000084080000}"/>
    <cellStyle name="40% - Accent1 2 5 2 2 3" xfId="3358" xr:uid="{00000000-0005-0000-0000-000085080000}"/>
    <cellStyle name="40% - Accent1 2 5 2 2 4" xfId="4645" xr:uid="{00000000-0005-0000-0000-000086080000}"/>
    <cellStyle name="40% - Accent1 2 5 2 3" xfId="1214" xr:uid="{00000000-0005-0000-0000-000087080000}"/>
    <cellStyle name="40% - Accent1 2 5 2 3 2" xfId="2506" xr:uid="{00000000-0005-0000-0000-000088080000}"/>
    <cellStyle name="40% - Accent1 2 5 2 3 3" xfId="3784" xr:uid="{00000000-0005-0000-0000-000089080000}"/>
    <cellStyle name="40% - Accent1 2 5 2 3 4" xfId="5071" xr:uid="{00000000-0005-0000-0000-00008A080000}"/>
    <cellStyle name="40% - Accent1 2 5 2 4" xfId="1654" xr:uid="{00000000-0005-0000-0000-00008B080000}"/>
    <cellStyle name="40% - Accent1 2 5 2 5" xfId="2932" xr:uid="{00000000-0005-0000-0000-00008C080000}"/>
    <cellStyle name="40% - Accent1 2 5 2 6" xfId="4219" xr:uid="{00000000-0005-0000-0000-00008D080000}"/>
    <cellStyle name="40% - Accent1 2 5 3" xfId="575" xr:uid="{00000000-0005-0000-0000-00008E080000}"/>
    <cellStyle name="40% - Accent1 2 5 3 2" xfId="1867" xr:uid="{00000000-0005-0000-0000-00008F080000}"/>
    <cellStyle name="40% - Accent1 2 5 3 3" xfId="3145" xr:uid="{00000000-0005-0000-0000-000090080000}"/>
    <cellStyle name="40% - Accent1 2 5 3 4" xfId="4432" xr:uid="{00000000-0005-0000-0000-000091080000}"/>
    <cellStyle name="40% - Accent1 2 5 4" xfId="1001" xr:uid="{00000000-0005-0000-0000-000092080000}"/>
    <cellStyle name="40% - Accent1 2 5 4 2" xfId="2293" xr:uid="{00000000-0005-0000-0000-000093080000}"/>
    <cellStyle name="40% - Accent1 2 5 4 3" xfId="3571" xr:uid="{00000000-0005-0000-0000-000094080000}"/>
    <cellStyle name="40% - Accent1 2 5 4 4" xfId="4858" xr:uid="{00000000-0005-0000-0000-000095080000}"/>
    <cellStyle name="40% - Accent1 2 5 5" xfId="1441" xr:uid="{00000000-0005-0000-0000-000096080000}"/>
    <cellStyle name="40% - Accent1 2 5 6" xfId="2719" xr:uid="{00000000-0005-0000-0000-000097080000}"/>
    <cellStyle name="40% - Accent1 2 5 7" xfId="4006" xr:uid="{00000000-0005-0000-0000-000098080000}"/>
    <cellStyle name="40% - Accent1 2 6" xfId="270" xr:uid="{00000000-0005-0000-0000-000099080000}"/>
    <cellStyle name="40% - Accent1 2 6 2" xfId="483" xr:uid="{00000000-0005-0000-0000-00009A080000}"/>
    <cellStyle name="40% - Accent1 2 6 2 2" xfId="908" xr:uid="{00000000-0005-0000-0000-00009B080000}"/>
    <cellStyle name="40% - Accent1 2 6 2 2 2" xfId="2200" xr:uid="{00000000-0005-0000-0000-00009C080000}"/>
    <cellStyle name="40% - Accent1 2 6 2 2 3" xfId="3478" xr:uid="{00000000-0005-0000-0000-00009D080000}"/>
    <cellStyle name="40% - Accent1 2 6 2 2 4" xfId="4765" xr:uid="{00000000-0005-0000-0000-00009E080000}"/>
    <cellStyle name="40% - Accent1 2 6 2 3" xfId="1334" xr:uid="{00000000-0005-0000-0000-00009F080000}"/>
    <cellStyle name="40% - Accent1 2 6 2 3 2" xfId="2626" xr:uid="{00000000-0005-0000-0000-0000A0080000}"/>
    <cellStyle name="40% - Accent1 2 6 2 3 3" xfId="3904" xr:uid="{00000000-0005-0000-0000-0000A1080000}"/>
    <cellStyle name="40% - Accent1 2 6 2 3 4" xfId="5191" xr:uid="{00000000-0005-0000-0000-0000A2080000}"/>
    <cellStyle name="40% - Accent1 2 6 2 4" xfId="1774" xr:uid="{00000000-0005-0000-0000-0000A3080000}"/>
    <cellStyle name="40% - Accent1 2 6 2 5" xfId="3052" xr:uid="{00000000-0005-0000-0000-0000A4080000}"/>
    <cellStyle name="40% - Accent1 2 6 2 6" xfId="4339" xr:uid="{00000000-0005-0000-0000-0000A5080000}"/>
    <cellStyle name="40% - Accent1 2 6 3" xfId="695" xr:uid="{00000000-0005-0000-0000-0000A6080000}"/>
    <cellStyle name="40% - Accent1 2 6 3 2" xfId="1987" xr:uid="{00000000-0005-0000-0000-0000A7080000}"/>
    <cellStyle name="40% - Accent1 2 6 3 3" xfId="3265" xr:uid="{00000000-0005-0000-0000-0000A8080000}"/>
    <cellStyle name="40% - Accent1 2 6 3 4" xfId="4552" xr:uid="{00000000-0005-0000-0000-0000A9080000}"/>
    <cellStyle name="40% - Accent1 2 6 4" xfId="1121" xr:uid="{00000000-0005-0000-0000-0000AA080000}"/>
    <cellStyle name="40% - Accent1 2 6 4 2" xfId="2413" xr:uid="{00000000-0005-0000-0000-0000AB080000}"/>
    <cellStyle name="40% - Accent1 2 6 4 3" xfId="3691" xr:uid="{00000000-0005-0000-0000-0000AC080000}"/>
    <cellStyle name="40% - Accent1 2 6 4 4" xfId="4978" xr:uid="{00000000-0005-0000-0000-0000AD080000}"/>
    <cellStyle name="40% - Accent1 2 6 5" xfId="1561" xr:uid="{00000000-0005-0000-0000-0000AE080000}"/>
    <cellStyle name="40% - Accent1 2 6 6" xfId="2839" xr:uid="{00000000-0005-0000-0000-0000AF080000}"/>
    <cellStyle name="40% - Accent1 2 6 7" xfId="4126" xr:uid="{00000000-0005-0000-0000-0000B0080000}"/>
    <cellStyle name="40% - Accent1 2 7" xfId="357" xr:uid="{00000000-0005-0000-0000-0000B1080000}"/>
    <cellStyle name="40% - Accent1 2 7 2" xfId="783" xr:uid="{00000000-0005-0000-0000-0000B2080000}"/>
    <cellStyle name="40% - Accent1 2 7 2 2" xfId="2075" xr:uid="{00000000-0005-0000-0000-0000B3080000}"/>
    <cellStyle name="40% - Accent1 2 7 2 3" xfId="3353" xr:uid="{00000000-0005-0000-0000-0000B4080000}"/>
    <cellStyle name="40% - Accent1 2 7 2 4" xfId="4640" xr:uid="{00000000-0005-0000-0000-0000B5080000}"/>
    <cellStyle name="40% - Accent1 2 7 3" xfId="1209" xr:uid="{00000000-0005-0000-0000-0000B6080000}"/>
    <cellStyle name="40% - Accent1 2 7 3 2" xfId="2501" xr:uid="{00000000-0005-0000-0000-0000B7080000}"/>
    <cellStyle name="40% - Accent1 2 7 3 3" xfId="3779" xr:uid="{00000000-0005-0000-0000-0000B8080000}"/>
    <cellStyle name="40% - Accent1 2 7 3 4" xfId="5066" xr:uid="{00000000-0005-0000-0000-0000B9080000}"/>
    <cellStyle name="40% - Accent1 2 7 4" xfId="1649" xr:uid="{00000000-0005-0000-0000-0000BA080000}"/>
    <cellStyle name="40% - Accent1 2 7 5" xfId="2927" xr:uid="{00000000-0005-0000-0000-0000BB080000}"/>
    <cellStyle name="40% - Accent1 2 7 6" xfId="4214" xr:uid="{00000000-0005-0000-0000-0000BC080000}"/>
    <cellStyle name="40% - Accent1 2 8" xfId="570" xr:uid="{00000000-0005-0000-0000-0000BD080000}"/>
    <cellStyle name="40% - Accent1 2 8 2" xfId="1862" xr:uid="{00000000-0005-0000-0000-0000BE080000}"/>
    <cellStyle name="40% - Accent1 2 8 3" xfId="3140" xr:uid="{00000000-0005-0000-0000-0000BF080000}"/>
    <cellStyle name="40% - Accent1 2 8 4" xfId="4427" xr:uid="{00000000-0005-0000-0000-0000C0080000}"/>
    <cellStyle name="40% - Accent1 2 9" xfId="996" xr:uid="{00000000-0005-0000-0000-0000C1080000}"/>
    <cellStyle name="40% - Accent1 2 9 2" xfId="2288" xr:uid="{00000000-0005-0000-0000-0000C2080000}"/>
    <cellStyle name="40% - Accent1 2 9 3" xfId="3566" xr:uid="{00000000-0005-0000-0000-0000C3080000}"/>
    <cellStyle name="40% - Accent1 2 9 4" xfId="4853" xr:uid="{00000000-0005-0000-0000-0000C4080000}"/>
    <cellStyle name="40% - Accent1 3" xfId="148" xr:uid="{00000000-0005-0000-0000-0000C5080000}"/>
    <cellStyle name="40% - Accent1 3 2" xfId="149" xr:uid="{00000000-0005-0000-0000-0000C6080000}"/>
    <cellStyle name="40% - Accent1 3 2 2" xfId="364" xr:uid="{00000000-0005-0000-0000-0000C7080000}"/>
    <cellStyle name="40% - Accent1 3 2 2 2" xfId="790" xr:uid="{00000000-0005-0000-0000-0000C8080000}"/>
    <cellStyle name="40% - Accent1 3 2 2 2 2" xfId="2082" xr:uid="{00000000-0005-0000-0000-0000C9080000}"/>
    <cellStyle name="40% - Accent1 3 2 2 2 3" xfId="3360" xr:uid="{00000000-0005-0000-0000-0000CA080000}"/>
    <cellStyle name="40% - Accent1 3 2 2 2 4" xfId="4647" xr:uid="{00000000-0005-0000-0000-0000CB080000}"/>
    <cellStyle name="40% - Accent1 3 2 2 3" xfId="1216" xr:uid="{00000000-0005-0000-0000-0000CC080000}"/>
    <cellStyle name="40% - Accent1 3 2 2 3 2" xfId="2508" xr:uid="{00000000-0005-0000-0000-0000CD080000}"/>
    <cellStyle name="40% - Accent1 3 2 2 3 3" xfId="3786" xr:uid="{00000000-0005-0000-0000-0000CE080000}"/>
    <cellStyle name="40% - Accent1 3 2 2 3 4" xfId="5073" xr:uid="{00000000-0005-0000-0000-0000CF080000}"/>
    <cellStyle name="40% - Accent1 3 2 2 4" xfId="1656" xr:uid="{00000000-0005-0000-0000-0000D0080000}"/>
    <cellStyle name="40% - Accent1 3 2 2 5" xfId="2934" xr:uid="{00000000-0005-0000-0000-0000D1080000}"/>
    <cellStyle name="40% - Accent1 3 2 2 6" xfId="4221" xr:uid="{00000000-0005-0000-0000-0000D2080000}"/>
    <cellStyle name="40% - Accent1 3 2 3" xfId="577" xr:uid="{00000000-0005-0000-0000-0000D3080000}"/>
    <cellStyle name="40% - Accent1 3 2 3 2" xfId="1869" xr:uid="{00000000-0005-0000-0000-0000D4080000}"/>
    <cellStyle name="40% - Accent1 3 2 3 3" xfId="3147" xr:uid="{00000000-0005-0000-0000-0000D5080000}"/>
    <cellStyle name="40% - Accent1 3 2 3 4" xfId="4434" xr:uid="{00000000-0005-0000-0000-0000D6080000}"/>
    <cellStyle name="40% - Accent1 3 2 4" xfId="1003" xr:uid="{00000000-0005-0000-0000-0000D7080000}"/>
    <cellStyle name="40% - Accent1 3 2 4 2" xfId="2295" xr:uid="{00000000-0005-0000-0000-0000D8080000}"/>
    <cellStyle name="40% - Accent1 3 2 4 3" xfId="3573" xr:uid="{00000000-0005-0000-0000-0000D9080000}"/>
    <cellStyle name="40% - Accent1 3 2 4 4" xfId="4860" xr:uid="{00000000-0005-0000-0000-0000DA080000}"/>
    <cellStyle name="40% - Accent1 3 2 5" xfId="1443" xr:uid="{00000000-0005-0000-0000-0000DB080000}"/>
    <cellStyle name="40% - Accent1 3 2 6" xfId="2721" xr:uid="{00000000-0005-0000-0000-0000DC080000}"/>
    <cellStyle name="40% - Accent1 3 2 7" xfId="4008" xr:uid="{00000000-0005-0000-0000-0000DD080000}"/>
    <cellStyle name="40% - Accent1 3 2 8" xfId="5260" xr:uid="{00000000-0005-0000-0000-0000DE080000}"/>
    <cellStyle name="40% - Accent1 3 3" xfId="363" xr:uid="{00000000-0005-0000-0000-0000DF080000}"/>
    <cellStyle name="40% - Accent1 3 3 2" xfId="789" xr:uid="{00000000-0005-0000-0000-0000E0080000}"/>
    <cellStyle name="40% - Accent1 3 3 2 2" xfId="2081" xr:uid="{00000000-0005-0000-0000-0000E1080000}"/>
    <cellStyle name="40% - Accent1 3 3 2 3" xfId="3359" xr:uid="{00000000-0005-0000-0000-0000E2080000}"/>
    <cellStyle name="40% - Accent1 3 3 2 4" xfId="4646" xr:uid="{00000000-0005-0000-0000-0000E3080000}"/>
    <cellStyle name="40% - Accent1 3 3 3" xfId="1215" xr:uid="{00000000-0005-0000-0000-0000E4080000}"/>
    <cellStyle name="40% - Accent1 3 3 3 2" xfId="2507" xr:uid="{00000000-0005-0000-0000-0000E5080000}"/>
    <cellStyle name="40% - Accent1 3 3 3 3" xfId="3785" xr:uid="{00000000-0005-0000-0000-0000E6080000}"/>
    <cellStyle name="40% - Accent1 3 3 3 4" xfId="5072" xr:uid="{00000000-0005-0000-0000-0000E7080000}"/>
    <cellStyle name="40% - Accent1 3 3 4" xfId="1655" xr:uid="{00000000-0005-0000-0000-0000E8080000}"/>
    <cellStyle name="40% - Accent1 3 3 5" xfId="2933" xr:uid="{00000000-0005-0000-0000-0000E9080000}"/>
    <cellStyle name="40% - Accent1 3 3 6" xfId="4220" xr:uid="{00000000-0005-0000-0000-0000EA080000}"/>
    <cellStyle name="40% - Accent1 3 4" xfId="576" xr:uid="{00000000-0005-0000-0000-0000EB080000}"/>
    <cellStyle name="40% - Accent1 3 4 2" xfId="1868" xr:uid="{00000000-0005-0000-0000-0000EC080000}"/>
    <cellStyle name="40% - Accent1 3 4 3" xfId="3146" xr:uid="{00000000-0005-0000-0000-0000ED080000}"/>
    <cellStyle name="40% - Accent1 3 4 4" xfId="4433" xr:uid="{00000000-0005-0000-0000-0000EE080000}"/>
    <cellStyle name="40% - Accent1 3 5" xfId="1002" xr:uid="{00000000-0005-0000-0000-0000EF080000}"/>
    <cellStyle name="40% - Accent1 3 5 2" xfId="2294" xr:uid="{00000000-0005-0000-0000-0000F0080000}"/>
    <cellStyle name="40% - Accent1 3 5 3" xfId="3572" xr:uid="{00000000-0005-0000-0000-0000F1080000}"/>
    <cellStyle name="40% - Accent1 3 5 4" xfId="4859" xr:uid="{00000000-0005-0000-0000-0000F2080000}"/>
    <cellStyle name="40% - Accent1 3 6" xfId="1442" xr:uid="{00000000-0005-0000-0000-0000F3080000}"/>
    <cellStyle name="40% - Accent1 3 7" xfId="2720" xr:uid="{00000000-0005-0000-0000-0000F4080000}"/>
    <cellStyle name="40% - Accent1 3 8" xfId="4007" xr:uid="{00000000-0005-0000-0000-0000F5080000}"/>
    <cellStyle name="40% - Accent1 3 9" xfId="5259" xr:uid="{00000000-0005-0000-0000-0000F6080000}"/>
    <cellStyle name="40% - Accent1 4" xfId="150" xr:uid="{00000000-0005-0000-0000-0000F7080000}"/>
    <cellStyle name="40% - Accent1 4 2" xfId="365" xr:uid="{00000000-0005-0000-0000-0000F8080000}"/>
    <cellStyle name="40% - Accent1 4 2 2" xfId="791" xr:uid="{00000000-0005-0000-0000-0000F9080000}"/>
    <cellStyle name="40% - Accent1 4 2 2 2" xfId="2083" xr:uid="{00000000-0005-0000-0000-0000FA080000}"/>
    <cellStyle name="40% - Accent1 4 2 2 3" xfId="3361" xr:uid="{00000000-0005-0000-0000-0000FB080000}"/>
    <cellStyle name="40% - Accent1 4 2 2 4" xfId="4648" xr:uid="{00000000-0005-0000-0000-0000FC080000}"/>
    <cellStyle name="40% - Accent1 4 2 3" xfId="1217" xr:uid="{00000000-0005-0000-0000-0000FD080000}"/>
    <cellStyle name="40% - Accent1 4 2 3 2" xfId="2509" xr:uid="{00000000-0005-0000-0000-0000FE080000}"/>
    <cellStyle name="40% - Accent1 4 2 3 3" xfId="3787" xr:uid="{00000000-0005-0000-0000-0000FF080000}"/>
    <cellStyle name="40% - Accent1 4 2 3 4" xfId="5074" xr:uid="{00000000-0005-0000-0000-000000090000}"/>
    <cellStyle name="40% - Accent1 4 2 4" xfId="1657" xr:uid="{00000000-0005-0000-0000-000001090000}"/>
    <cellStyle name="40% - Accent1 4 2 5" xfId="2935" xr:uid="{00000000-0005-0000-0000-000002090000}"/>
    <cellStyle name="40% - Accent1 4 2 6" xfId="4222" xr:uid="{00000000-0005-0000-0000-000003090000}"/>
    <cellStyle name="40% - Accent1 4 3" xfId="578" xr:uid="{00000000-0005-0000-0000-000004090000}"/>
    <cellStyle name="40% - Accent1 4 3 2" xfId="1870" xr:uid="{00000000-0005-0000-0000-000005090000}"/>
    <cellStyle name="40% - Accent1 4 3 3" xfId="3148" xr:uid="{00000000-0005-0000-0000-000006090000}"/>
    <cellStyle name="40% - Accent1 4 3 4" xfId="4435" xr:uid="{00000000-0005-0000-0000-000007090000}"/>
    <cellStyle name="40% - Accent1 4 4" xfId="1004" xr:uid="{00000000-0005-0000-0000-000008090000}"/>
    <cellStyle name="40% - Accent1 4 4 2" xfId="2296" xr:uid="{00000000-0005-0000-0000-000009090000}"/>
    <cellStyle name="40% - Accent1 4 4 3" xfId="3574" xr:uid="{00000000-0005-0000-0000-00000A090000}"/>
    <cellStyle name="40% - Accent1 4 4 4" xfId="4861" xr:uid="{00000000-0005-0000-0000-00000B090000}"/>
    <cellStyle name="40% - Accent1 4 5" xfId="1444" xr:uid="{00000000-0005-0000-0000-00000C090000}"/>
    <cellStyle name="40% - Accent1 4 6" xfId="2722" xr:uid="{00000000-0005-0000-0000-00000D090000}"/>
    <cellStyle name="40% - Accent1 4 7" xfId="4009" xr:uid="{00000000-0005-0000-0000-00000E090000}"/>
    <cellStyle name="40% - Accent1 4 8" xfId="5261" xr:uid="{00000000-0005-0000-0000-00000F090000}"/>
    <cellStyle name="40% - Accent1 5" xfId="151" xr:uid="{00000000-0005-0000-0000-000010090000}"/>
    <cellStyle name="40% - Accent1 5 2" xfId="366" xr:uid="{00000000-0005-0000-0000-000011090000}"/>
    <cellStyle name="40% - Accent1 5 2 2" xfId="792" xr:uid="{00000000-0005-0000-0000-000012090000}"/>
    <cellStyle name="40% - Accent1 5 2 2 2" xfId="2084" xr:uid="{00000000-0005-0000-0000-000013090000}"/>
    <cellStyle name="40% - Accent1 5 2 2 3" xfId="3362" xr:uid="{00000000-0005-0000-0000-000014090000}"/>
    <cellStyle name="40% - Accent1 5 2 2 4" xfId="4649" xr:uid="{00000000-0005-0000-0000-000015090000}"/>
    <cellStyle name="40% - Accent1 5 2 3" xfId="1218" xr:uid="{00000000-0005-0000-0000-000016090000}"/>
    <cellStyle name="40% - Accent1 5 2 3 2" xfId="2510" xr:uid="{00000000-0005-0000-0000-000017090000}"/>
    <cellStyle name="40% - Accent1 5 2 3 3" xfId="3788" xr:uid="{00000000-0005-0000-0000-000018090000}"/>
    <cellStyle name="40% - Accent1 5 2 3 4" xfId="5075" xr:uid="{00000000-0005-0000-0000-000019090000}"/>
    <cellStyle name="40% - Accent1 5 2 4" xfId="1658" xr:uid="{00000000-0005-0000-0000-00001A090000}"/>
    <cellStyle name="40% - Accent1 5 2 5" xfId="2936" xr:uid="{00000000-0005-0000-0000-00001B090000}"/>
    <cellStyle name="40% - Accent1 5 2 6" xfId="4223" xr:uid="{00000000-0005-0000-0000-00001C090000}"/>
    <cellStyle name="40% - Accent1 5 3" xfId="579" xr:uid="{00000000-0005-0000-0000-00001D090000}"/>
    <cellStyle name="40% - Accent1 5 3 2" xfId="1871" xr:uid="{00000000-0005-0000-0000-00001E090000}"/>
    <cellStyle name="40% - Accent1 5 3 3" xfId="3149" xr:uid="{00000000-0005-0000-0000-00001F090000}"/>
    <cellStyle name="40% - Accent1 5 3 4" xfId="4436" xr:uid="{00000000-0005-0000-0000-000020090000}"/>
    <cellStyle name="40% - Accent1 5 4" xfId="1005" xr:uid="{00000000-0005-0000-0000-000021090000}"/>
    <cellStyle name="40% - Accent1 5 4 2" xfId="2297" xr:uid="{00000000-0005-0000-0000-000022090000}"/>
    <cellStyle name="40% - Accent1 5 4 3" xfId="3575" xr:uid="{00000000-0005-0000-0000-000023090000}"/>
    <cellStyle name="40% - Accent1 5 4 4" xfId="4862" xr:uid="{00000000-0005-0000-0000-000024090000}"/>
    <cellStyle name="40% - Accent1 5 5" xfId="1445" xr:uid="{00000000-0005-0000-0000-000025090000}"/>
    <cellStyle name="40% - Accent1 5 6" xfId="2723" xr:uid="{00000000-0005-0000-0000-000026090000}"/>
    <cellStyle name="40% - Accent1 5 7" xfId="4010" xr:uid="{00000000-0005-0000-0000-000027090000}"/>
    <cellStyle name="40% - Accent1 6" xfId="152" xr:uid="{00000000-0005-0000-0000-000028090000}"/>
    <cellStyle name="40% - Accent1 6 2" xfId="367" xr:uid="{00000000-0005-0000-0000-000029090000}"/>
    <cellStyle name="40% - Accent1 6 2 2" xfId="793" xr:uid="{00000000-0005-0000-0000-00002A090000}"/>
    <cellStyle name="40% - Accent1 6 2 2 2" xfId="2085" xr:uid="{00000000-0005-0000-0000-00002B090000}"/>
    <cellStyle name="40% - Accent1 6 2 2 3" xfId="3363" xr:uid="{00000000-0005-0000-0000-00002C090000}"/>
    <cellStyle name="40% - Accent1 6 2 2 4" xfId="4650" xr:uid="{00000000-0005-0000-0000-00002D090000}"/>
    <cellStyle name="40% - Accent1 6 2 3" xfId="1219" xr:uid="{00000000-0005-0000-0000-00002E090000}"/>
    <cellStyle name="40% - Accent1 6 2 3 2" xfId="2511" xr:uid="{00000000-0005-0000-0000-00002F090000}"/>
    <cellStyle name="40% - Accent1 6 2 3 3" xfId="3789" xr:uid="{00000000-0005-0000-0000-000030090000}"/>
    <cellStyle name="40% - Accent1 6 2 3 4" xfId="5076" xr:uid="{00000000-0005-0000-0000-000031090000}"/>
    <cellStyle name="40% - Accent1 6 2 4" xfId="1659" xr:uid="{00000000-0005-0000-0000-000032090000}"/>
    <cellStyle name="40% - Accent1 6 2 5" xfId="2937" xr:uid="{00000000-0005-0000-0000-000033090000}"/>
    <cellStyle name="40% - Accent1 6 2 6" xfId="4224" xr:uid="{00000000-0005-0000-0000-000034090000}"/>
    <cellStyle name="40% - Accent1 6 3" xfId="580" xr:uid="{00000000-0005-0000-0000-000035090000}"/>
    <cellStyle name="40% - Accent1 6 3 2" xfId="1872" xr:uid="{00000000-0005-0000-0000-000036090000}"/>
    <cellStyle name="40% - Accent1 6 3 3" xfId="3150" xr:uid="{00000000-0005-0000-0000-000037090000}"/>
    <cellStyle name="40% - Accent1 6 3 4" xfId="4437" xr:uid="{00000000-0005-0000-0000-000038090000}"/>
    <cellStyle name="40% - Accent1 6 4" xfId="1006" xr:uid="{00000000-0005-0000-0000-000039090000}"/>
    <cellStyle name="40% - Accent1 6 4 2" xfId="2298" xr:uid="{00000000-0005-0000-0000-00003A090000}"/>
    <cellStyle name="40% - Accent1 6 4 3" xfId="3576" xr:uid="{00000000-0005-0000-0000-00003B090000}"/>
    <cellStyle name="40% - Accent1 6 4 4" xfId="4863" xr:uid="{00000000-0005-0000-0000-00003C090000}"/>
    <cellStyle name="40% - Accent1 6 5" xfId="1446" xr:uid="{00000000-0005-0000-0000-00003D090000}"/>
    <cellStyle name="40% - Accent1 6 6" xfId="2724" xr:uid="{00000000-0005-0000-0000-00003E090000}"/>
    <cellStyle name="40% - Accent1 6 7" xfId="4011" xr:uid="{00000000-0005-0000-0000-00003F090000}"/>
    <cellStyle name="40% - Accent1 7" xfId="260" xr:uid="{00000000-0005-0000-0000-000040090000}"/>
    <cellStyle name="40% - Accent1 7 2" xfId="473" xr:uid="{00000000-0005-0000-0000-000041090000}"/>
    <cellStyle name="40% - Accent1 7 2 2" xfId="898" xr:uid="{00000000-0005-0000-0000-000042090000}"/>
    <cellStyle name="40% - Accent1 7 2 2 2" xfId="2190" xr:uid="{00000000-0005-0000-0000-000043090000}"/>
    <cellStyle name="40% - Accent1 7 2 2 3" xfId="3468" xr:uid="{00000000-0005-0000-0000-000044090000}"/>
    <cellStyle name="40% - Accent1 7 2 2 4" xfId="4755" xr:uid="{00000000-0005-0000-0000-000045090000}"/>
    <cellStyle name="40% - Accent1 7 2 3" xfId="1324" xr:uid="{00000000-0005-0000-0000-000046090000}"/>
    <cellStyle name="40% - Accent1 7 2 3 2" xfId="2616" xr:uid="{00000000-0005-0000-0000-000047090000}"/>
    <cellStyle name="40% - Accent1 7 2 3 3" xfId="3894" xr:uid="{00000000-0005-0000-0000-000048090000}"/>
    <cellStyle name="40% - Accent1 7 2 3 4" xfId="5181" xr:uid="{00000000-0005-0000-0000-000049090000}"/>
    <cellStyle name="40% - Accent1 7 2 4" xfId="1764" xr:uid="{00000000-0005-0000-0000-00004A090000}"/>
    <cellStyle name="40% - Accent1 7 2 5" xfId="3042" xr:uid="{00000000-0005-0000-0000-00004B090000}"/>
    <cellStyle name="40% - Accent1 7 2 6" xfId="4329" xr:uid="{00000000-0005-0000-0000-00004C090000}"/>
    <cellStyle name="40% - Accent1 7 3" xfId="685" xr:uid="{00000000-0005-0000-0000-00004D090000}"/>
    <cellStyle name="40% - Accent1 7 3 2" xfId="1977" xr:uid="{00000000-0005-0000-0000-00004E090000}"/>
    <cellStyle name="40% - Accent1 7 3 3" xfId="3255" xr:uid="{00000000-0005-0000-0000-00004F090000}"/>
    <cellStyle name="40% - Accent1 7 3 4" xfId="4542" xr:uid="{00000000-0005-0000-0000-000050090000}"/>
    <cellStyle name="40% - Accent1 7 4" xfId="1111" xr:uid="{00000000-0005-0000-0000-000051090000}"/>
    <cellStyle name="40% - Accent1 7 4 2" xfId="2403" xr:uid="{00000000-0005-0000-0000-000052090000}"/>
    <cellStyle name="40% - Accent1 7 4 3" xfId="3681" xr:uid="{00000000-0005-0000-0000-000053090000}"/>
    <cellStyle name="40% - Accent1 7 4 4" xfId="4968" xr:uid="{00000000-0005-0000-0000-000054090000}"/>
    <cellStyle name="40% - Accent1 7 5" xfId="1551" xr:uid="{00000000-0005-0000-0000-000055090000}"/>
    <cellStyle name="40% - Accent1 7 6" xfId="2829" xr:uid="{00000000-0005-0000-0000-000056090000}"/>
    <cellStyle name="40% - Accent1 7 7" xfId="4116" xr:uid="{00000000-0005-0000-0000-000057090000}"/>
    <cellStyle name="40% - Accent1 8" xfId="356" xr:uid="{00000000-0005-0000-0000-000058090000}"/>
    <cellStyle name="40% - Accent1 8 2" xfId="782" xr:uid="{00000000-0005-0000-0000-000059090000}"/>
    <cellStyle name="40% - Accent1 8 2 2" xfId="2074" xr:uid="{00000000-0005-0000-0000-00005A090000}"/>
    <cellStyle name="40% - Accent1 8 2 3" xfId="3352" xr:uid="{00000000-0005-0000-0000-00005B090000}"/>
    <cellStyle name="40% - Accent1 8 2 4" xfId="4639" xr:uid="{00000000-0005-0000-0000-00005C090000}"/>
    <cellStyle name="40% - Accent1 8 3" xfId="1208" xr:uid="{00000000-0005-0000-0000-00005D090000}"/>
    <cellStyle name="40% - Accent1 8 3 2" xfId="2500" xr:uid="{00000000-0005-0000-0000-00005E090000}"/>
    <cellStyle name="40% - Accent1 8 3 3" xfId="3778" xr:uid="{00000000-0005-0000-0000-00005F090000}"/>
    <cellStyle name="40% - Accent1 8 3 4" xfId="5065" xr:uid="{00000000-0005-0000-0000-000060090000}"/>
    <cellStyle name="40% - Accent1 8 4" xfId="1648" xr:uid="{00000000-0005-0000-0000-000061090000}"/>
    <cellStyle name="40% - Accent1 8 5" xfId="2926" xr:uid="{00000000-0005-0000-0000-000062090000}"/>
    <cellStyle name="40% - Accent1 8 6" xfId="4213" xr:uid="{00000000-0005-0000-0000-000063090000}"/>
    <cellStyle name="40% - Accent1 9" xfId="569" xr:uid="{00000000-0005-0000-0000-000064090000}"/>
    <cellStyle name="40% - Accent1 9 2" xfId="1861" xr:uid="{00000000-0005-0000-0000-000065090000}"/>
    <cellStyle name="40% - Accent1 9 3" xfId="3139" xr:uid="{00000000-0005-0000-0000-000066090000}"/>
    <cellStyle name="40% - Accent1 9 4" xfId="4426" xr:uid="{00000000-0005-0000-0000-000067090000}"/>
    <cellStyle name="40% - Accent2" xfId="63" builtinId="35" customBuiltin="1"/>
    <cellStyle name="40% - Accent2 10" xfId="1007" xr:uid="{00000000-0005-0000-0000-000069090000}"/>
    <cellStyle name="40% - Accent2 10 2" xfId="2299" xr:uid="{00000000-0005-0000-0000-00006A090000}"/>
    <cellStyle name="40% - Accent2 10 3" xfId="3577" xr:uid="{00000000-0005-0000-0000-00006B090000}"/>
    <cellStyle name="40% - Accent2 10 4" xfId="4864" xr:uid="{00000000-0005-0000-0000-00006C090000}"/>
    <cellStyle name="40% - Accent2 11" xfId="1447" xr:uid="{00000000-0005-0000-0000-00006D090000}"/>
    <cellStyle name="40% - Accent2 12" xfId="2725" xr:uid="{00000000-0005-0000-0000-00006E090000}"/>
    <cellStyle name="40% - Accent2 13" xfId="4012" xr:uid="{00000000-0005-0000-0000-00006F090000}"/>
    <cellStyle name="40% - Accent2 14" xfId="5262" xr:uid="{00000000-0005-0000-0000-000070090000}"/>
    <cellStyle name="40% - Accent2 2" xfId="17" xr:uid="{00000000-0005-0000-0000-000071090000}"/>
    <cellStyle name="40% - Accent2 2 10" xfId="1448" xr:uid="{00000000-0005-0000-0000-000072090000}"/>
    <cellStyle name="40% - Accent2 2 11" xfId="2726" xr:uid="{00000000-0005-0000-0000-000073090000}"/>
    <cellStyle name="40% - Accent2 2 12" xfId="4013" xr:uid="{00000000-0005-0000-0000-000074090000}"/>
    <cellStyle name="40% - Accent2 2 13" xfId="5263" xr:uid="{00000000-0005-0000-0000-000075090000}"/>
    <cellStyle name="40% - Accent2 2 2" xfId="153" xr:uid="{00000000-0005-0000-0000-000076090000}"/>
    <cellStyle name="40% - Accent2 2 2 2" xfId="154" xr:uid="{00000000-0005-0000-0000-000077090000}"/>
    <cellStyle name="40% - Accent2 2 2 2 2" xfId="371" xr:uid="{00000000-0005-0000-0000-000078090000}"/>
    <cellStyle name="40% - Accent2 2 2 2 2 2" xfId="797" xr:uid="{00000000-0005-0000-0000-000079090000}"/>
    <cellStyle name="40% - Accent2 2 2 2 2 2 2" xfId="2089" xr:uid="{00000000-0005-0000-0000-00007A090000}"/>
    <cellStyle name="40% - Accent2 2 2 2 2 2 3" xfId="3367" xr:uid="{00000000-0005-0000-0000-00007B090000}"/>
    <cellStyle name="40% - Accent2 2 2 2 2 2 4" xfId="4654" xr:uid="{00000000-0005-0000-0000-00007C090000}"/>
    <cellStyle name="40% - Accent2 2 2 2 2 3" xfId="1223" xr:uid="{00000000-0005-0000-0000-00007D090000}"/>
    <cellStyle name="40% - Accent2 2 2 2 2 3 2" xfId="2515" xr:uid="{00000000-0005-0000-0000-00007E090000}"/>
    <cellStyle name="40% - Accent2 2 2 2 2 3 3" xfId="3793" xr:uid="{00000000-0005-0000-0000-00007F090000}"/>
    <cellStyle name="40% - Accent2 2 2 2 2 3 4" xfId="5080" xr:uid="{00000000-0005-0000-0000-000080090000}"/>
    <cellStyle name="40% - Accent2 2 2 2 2 4" xfId="1663" xr:uid="{00000000-0005-0000-0000-000081090000}"/>
    <cellStyle name="40% - Accent2 2 2 2 2 5" xfId="2941" xr:uid="{00000000-0005-0000-0000-000082090000}"/>
    <cellStyle name="40% - Accent2 2 2 2 2 6" xfId="4228" xr:uid="{00000000-0005-0000-0000-000083090000}"/>
    <cellStyle name="40% - Accent2 2 2 2 3" xfId="584" xr:uid="{00000000-0005-0000-0000-000084090000}"/>
    <cellStyle name="40% - Accent2 2 2 2 3 2" xfId="1876" xr:uid="{00000000-0005-0000-0000-000085090000}"/>
    <cellStyle name="40% - Accent2 2 2 2 3 3" xfId="3154" xr:uid="{00000000-0005-0000-0000-000086090000}"/>
    <cellStyle name="40% - Accent2 2 2 2 3 4" xfId="4441" xr:uid="{00000000-0005-0000-0000-000087090000}"/>
    <cellStyle name="40% - Accent2 2 2 2 4" xfId="1010" xr:uid="{00000000-0005-0000-0000-000088090000}"/>
    <cellStyle name="40% - Accent2 2 2 2 4 2" xfId="2302" xr:uid="{00000000-0005-0000-0000-000089090000}"/>
    <cellStyle name="40% - Accent2 2 2 2 4 3" xfId="3580" xr:uid="{00000000-0005-0000-0000-00008A090000}"/>
    <cellStyle name="40% - Accent2 2 2 2 4 4" xfId="4867" xr:uid="{00000000-0005-0000-0000-00008B090000}"/>
    <cellStyle name="40% - Accent2 2 2 2 5" xfId="1450" xr:uid="{00000000-0005-0000-0000-00008C090000}"/>
    <cellStyle name="40% - Accent2 2 2 2 6" xfId="2728" xr:uid="{00000000-0005-0000-0000-00008D090000}"/>
    <cellStyle name="40% - Accent2 2 2 2 7" xfId="4015" xr:uid="{00000000-0005-0000-0000-00008E090000}"/>
    <cellStyle name="40% - Accent2 2 2 2 8" xfId="5265" xr:uid="{00000000-0005-0000-0000-00008F090000}"/>
    <cellStyle name="40% - Accent2 2 2 3" xfId="370" xr:uid="{00000000-0005-0000-0000-000090090000}"/>
    <cellStyle name="40% - Accent2 2 2 3 2" xfId="796" xr:uid="{00000000-0005-0000-0000-000091090000}"/>
    <cellStyle name="40% - Accent2 2 2 3 2 2" xfId="2088" xr:uid="{00000000-0005-0000-0000-000092090000}"/>
    <cellStyle name="40% - Accent2 2 2 3 2 3" xfId="3366" xr:uid="{00000000-0005-0000-0000-000093090000}"/>
    <cellStyle name="40% - Accent2 2 2 3 2 4" xfId="4653" xr:uid="{00000000-0005-0000-0000-000094090000}"/>
    <cellStyle name="40% - Accent2 2 2 3 3" xfId="1222" xr:uid="{00000000-0005-0000-0000-000095090000}"/>
    <cellStyle name="40% - Accent2 2 2 3 3 2" xfId="2514" xr:uid="{00000000-0005-0000-0000-000096090000}"/>
    <cellStyle name="40% - Accent2 2 2 3 3 3" xfId="3792" xr:uid="{00000000-0005-0000-0000-000097090000}"/>
    <cellStyle name="40% - Accent2 2 2 3 3 4" xfId="5079" xr:uid="{00000000-0005-0000-0000-000098090000}"/>
    <cellStyle name="40% - Accent2 2 2 3 4" xfId="1662" xr:uid="{00000000-0005-0000-0000-000099090000}"/>
    <cellStyle name="40% - Accent2 2 2 3 5" xfId="2940" xr:uid="{00000000-0005-0000-0000-00009A090000}"/>
    <cellStyle name="40% - Accent2 2 2 3 6" xfId="4227" xr:uid="{00000000-0005-0000-0000-00009B090000}"/>
    <cellStyle name="40% - Accent2 2 2 4" xfId="583" xr:uid="{00000000-0005-0000-0000-00009C090000}"/>
    <cellStyle name="40% - Accent2 2 2 4 2" xfId="1875" xr:uid="{00000000-0005-0000-0000-00009D090000}"/>
    <cellStyle name="40% - Accent2 2 2 4 3" xfId="3153" xr:uid="{00000000-0005-0000-0000-00009E090000}"/>
    <cellStyle name="40% - Accent2 2 2 4 4" xfId="4440" xr:uid="{00000000-0005-0000-0000-00009F090000}"/>
    <cellStyle name="40% - Accent2 2 2 5" xfId="1009" xr:uid="{00000000-0005-0000-0000-0000A0090000}"/>
    <cellStyle name="40% - Accent2 2 2 5 2" xfId="2301" xr:uid="{00000000-0005-0000-0000-0000A1090000}"/>
    <cellStyle name="40% - Accent2 2 2 5 3" xfId="3579" xr:uid="{00000000-0005-0000-0000-0000A2090000}"/>
    <cellStyle name="40% - Accent2 2 2 5 4" xfId="4866" xr:uid="{00000000-0005-0000-0000-0000A3090000}"/>
    <cellStyle name="40% - Accent2 2 2 6" xfId="1449" xr:uid="{00000000-0005-0000-0000-0000A4090000}"/>
    <cellStyle name="40% - Accent2 2 2 7" xfId="2727" xr:uid="{00000000-0005-0000-0000-0000A5090000}"/>
    <cellStyle name="40% - Accent2 2 2 8" xfId="4014" xr:uid="{00000000-0005-0000-0000-0000A6090000}"/>
    <cellStyle name="40% - Accent2 2 2 9" xfId="5264" xr:uid="{00000000-0005-0000-0000-0000A7090000}"/>
    <cellStyle name="40% - Accent2 2 3" xfId="155" xr:uid="{00000000-0005-0000-0000-0000A8090000}"/>
    <cellStyle name="40% - Accent2 2 3 2" xfId="372" xr:uid="{00000000-0005-0000-0000-0000A9090000}"/>
    <cellStyle name="40% - Accent2 2 3 2 2" xfId="798" xr:uid="{00000000-0005-0000-0000-0000AA090000}"/>
    <cellStyle name="40% - Accent2 2 3 2 2 2" xfId="2090" xr:uid="{00000000-0005-0000-0000-0000AB090000}"/>
    <cellStyle name="40% - Accent2 2 3 2 2 3" xfId="3368" xr:uid="{00000000-0005-0000-0000-0000AC090000}"/>
    <cellStyle name="40% - Accent2 2 3 2 2 4" xfId="4655" xr:uid="{00000000-0005-0000-0000-0000AD090000}"/>
    <cellStyle name="40% - Accent2 2 3 2 3" xfId="1224" xr:uid="{00000000-0005-0000-0000-0000AE090000}"/>
    <cellStyle name="40% - Accent2 2 3 2 3 2" xfId="2516" xr:uid="{00000000-0005-0000-0000-0000AF090000}"/>
    <cellStyle name="40% - Accent2 2 3 2 3 3" xfId="3794" xr:uid="{00000000-0005-0000-0000-0000B0090000}"/>
    <cellStyle name="40% - Accent2 2 3 2 3 4" xfId="5081" xr:uid="{00000000-0005-0000-0000-0000B1090000}"/>
    <cellStyle name="40% - Accent2 2 3 2 4" xfId="1664" xr:uid="{00000000-0005-0000-0000-0000B2090000}"/>
    <cellStyle name="40% - Accent2 2 3 2 5" xfId="2942" xr:uid="{00000000-0005-0000-0000-0000B3090000}"/>
    <cellStyle name="40% - Accent2 2 3 2 6" xfId="4229" xr:uid="{00000000-0005-0000-0000-0000B4090000}"/>
    <cellStyle name="40% - Accent2 2 3 3" xfId="585" xr:uid="{00000000-0005-0000-0000-0000B5090000}"/>
    <cellStyle name="40% - Accent2 2 3 3 2" xfId="1877" xr:uid="{00000000-0005-0000-0000-0000B6090000}"/>
    <cellStyle name="40% - Accent2 2 3 3 3" xfId="3155" xr:uid="{00000000-0005-0000-0000-0000B7090000}"/>
    <cellStyle name="40% - Accent2 2 3 3 4" xfId="4442" xr:uid="{00000000-0005-0000-0000-0000B8090000}"/>
    <cellStyle name="40% - Accent2 2 3 4" xfId="1011" xr:uid="{00000000-0005-0000-0000-0000B9090000}"/>
    <cellStyle name="40% - Accent2 2 3 4 2" xfId="2303" xr:uid="{00000000-0005-0000-0000-0000BA090000}"/>
    <cellStyle name="40% - Accent2 2 3 4 3" xfId="3581" xr:uid="{00000000-0005-0000-0000-0000BB090000}"/>
    <cellStyle name="40% - Accent2 2 3 4 4" xfId="4868" xr:uid="{00000000-0005-0000-0000-0000BC090000}"/>
    <cellStyle name="40% - Accent2 2 3 5" xfId="1451" xr:uid="{00000000-0005-0000-0000-0000BD090000}"/>
    <cellStyle name="40% - Accent2 2 3 6" xfId="2729" xr:uid="{00000000-0005-0000-0000-0000BE090000}"/>
    <cellStyle name="40% - Accent2 2 3 7" xfId="4016" xr:uid="{00000000-0005-0000-0000-0000BF090000}"/>
    <cellStyle name="40% - Accent2 2 3 8" xfId="5266" xr:uid="{00000000-0005-0000-0000-0000C0090000}"/>
    <cellStyle name="40% - Accent2 2 4" xfId="156" xr:uid="{00000000-0005-0000-0000-0000C1090000}"/>
    <cellStyle name="40% - Accent2 2 4 2" xfId="373" xr:uid="{00000000-0005-0000-0000-0000C2090000}"/>
    <cellStyle name="40% - Accent2 2 4 2 2" xfId="799" xr:uid="{00000000-0005-0000-0000-0000C3090000}"/>
    <cellStyle name="40% - Accent2 2 4 2 2 2" xfId="2091" xr:uid="{00000000-0005-0000-0000-0000C4090000}"/>
    <cellStyle name="40% - Accent2 2 4 2 2 3" xfId="3369" xr:uid="{00000000-0005-0000-0000-0000C5090000}"/>
    <cellStyle name="40% - Accent2 2 4 2 2 4" xfId="4656" xr:uid="{00000000-0005-0000-0000-0000C6090000}"/>
    <cellStyle name="40% - Accent2 2 4 2 3" xfId="1225" xr:uid="{00000000-0005-0000-0000-0000C7090000}"/>
    <cellStyle name="40% - Accent2 2 4 2 3 2" xfId="2517" xr:uid="{00000000-0005-0000-0000-0000C8090000}"/>
    <cellStyle name="40% - Accent2 2 4 2 3 3" xfId="3795" xr:uid="{00000000-0005-0000-0000-0000C9090000}"/>
    <cellStyle name="40% - Accent2 2 4 2 3 4" xfId="5082" xr:uid="{00000000-0005-0000-0000-0000CA090000}"/>
    <cellStyle name="40% - Accent2 2 4 2 4" xfId="1665" xr:uid="{00000000-0005-0000-0000-0000CB090000}"/>
    <cellStyle name="40% - Accent2 2 4 2 5" xfId="2943" xr:uid="{00000000-0005-0000-0000-0000CC090000}"/>
    <cellStyle name="40% - Accent2 2 4 2 6" xfId="4230" xr:uid="{00000000-0005-0000-0000-0000CD090000}"/>
    <cellStyle name="40% - Accent2 2 4 3" xfId="586" xr:uid="{00000000-0005-0000-0000-0000CE090000}"/>
    <cellStyle name="40% - Accent2 2 4 3 2" xfId="1878" xr:uid="{00000000-0005-0000-0000-0000CF090000}"/>
    <cellStyle name="40% - Accent2 2 4 3 3" xfId="3156" xr:uid="{00000000-0005-0000-0000-0000D0090000}"/>
    <cellStyle name="40% - Accent2 2 4 3 4" xfId="4443" xr:uid="{00000000-0005-0000-0000-0000D1090000}"/>
    <cellStyle name="40% - Accent2 2 4 4" xfId="1012" xr:uid="{00000000-0005-0000-0000-0000D2090000}"/>
    <cellStyle name="40% - Accent2 2 4 4 2" xfId="2304" xr:uid="{00000000-0005-0000-0000-0000D3090000}"/>
    <cellStyle name="40% - Accent2 2 4 4 3" xfId="3582" xr:uid="{00000000-0005-0000-0000-0000D4090000}"/>
    <cellStyle name="40% - Accent2 2 4 4 4" xfId="4869" xr:uid="{00000000-0005-0000-0000-0000D5090000}"/>
    <cellStyle name="40% - Accent2 2 4 5" xfId="1452" xr:uid="{00000000-0005-0000-0000-0000D6090000}"/>
    <cellStyle name="40% - Accent2 2 4 6" xfId="2730" xr:uid="{00000000-0005-0000-0000-0000D7090000}"/>
    <cellStyle name="40% - Accent2 2 4 7" xfId="4017" xr:uid="{00000000-0005-0000-0000-0000D8090000}"/>
    <cellStyle name="40% - Accent2 2 5" xfId="157" xr:uid="{00000000-0005-0000-0000-0000D9090000}"/>
    <cellStyle name="40% - Accent2 2 5 2" xfId="374" xr:uid="{00000000-0005-0000-0000-0000DA090000}"/>
    <cellStyle name="40% - Accent2 2 5 2 2" xfId="800" xr:uid="{00000000-0005-0000-0000-0000DB090000}"/>
    <cellStyle name="40% - Accent2 2 5 2 2 2" xfId="2092" xr:uid="{00000000-0005-0000-0000-0000DC090000}"/>
    <cellStyle name="40% - Accent2 2 5 2 2 3" xfId="3370" xr:uid="{00000000-0005-0000-0000-0000DD090000}"/>
    <cellStyle name="40% - Accent2 2 5 2 2 4" xfId="4657" xr:uid="{00000000-0005-0000-0000-0000DE090000}"/>
    <cellStyle name="40% - Accent2 2 5 2 3" xfId="1226" xr:uid="{00000000-0005-0000-0000-0000DF090000}"/>
    <cellStyle name="40% - Accent2 2 5 2 3 2" xfId="2518" xr:uid="{00000000-0005-0000-0000-0000E0090000}"/>
    <cellStyle name="40% - Accent2 2 5 2 3 3" xfId="3796" xr:uid="{00000000-0005-0000-0000-0000E1090000}"/>
    <cellStyle name="40% - Accent2 2 5 2 3 4" xfId="5083" xr:uid="{00000000-0005-0000-0000-0000E2090000}"/>
    <cellStyle name="40% - Accent2 2 5 2 4" xfId="1666" xr:uid="{00000000-0005-0000-0000-0000E3090000}"/>
    <cellStyle name="40% - Accent2 2 5 2 5" xfId="2944" xr:uid="{00000000-0005-0000-0000-0000E4090000}"/>
    <cellStyle name="40% - Accent2 2 5 2 6" xfId="4231" xr:uid="{00000000-0005-0000-0000-0000E5090000}"/>
    <cellStyle name="40% - Accent2 2 5 3" xfId="587" xr:uid="{00000000-0005-0000-0000-0000E6090000}"/>
    <cellStyle name="40% - Accent2 2 5 3 2" xfId="1879" xr:uid="{00000000-0005-0000-0000-0000E7090000}"/>
    <cellStyle name="40% - Accent2 2 5 3 3" xfId="3157" xr:uid="{00000000-0005-0000-0000-0000E8090000}"/>
    <cellStyle name="40% - Accent2 2 5 3 4" xfId="4444" xr:uid="{00000000-0005-0000-0000-0000E9090000}"/>
    <cellStyle name="40% - Accent2 2 5 4" xfId="1013" xr:uid="{00000000-0005-0000-0000-0000EA090000}"/>
    <cellStyle name="40% - Accent2 2 5 4 2" xfId="2305" xr:uid="{00000000-0005-0000-0000-0000EB090000}"/>
    <cellStyle name="40% - Accent2 2 5 4 3" xfId="3583" xr:uid="{00000000-0005-0000-0000-0000EC090000}"/>
    <cellStyle name="40% - Accent2 2 5 4 4" xfId="4870" xr:uid="{00000000-0005-0000-0000-0000ED090000}"/>
    <cellStyle name="40% - Accent2 2 5 5" xfId="1453" xr:uid="{00000000-0005-0000-0000-0000EE090000}"/>
    <cellStyle name="40% - Accent2 2 5 6" xfId="2731" xr:uid="{00000000-0005-0000-0000-0000EF090000}"/>
    <cellStyle name="40% - Accent2 2 5 7" xfId="4018" xr:uid="{00000000-0005-0000-0000-0000F0090000}"/>
    <cellStyle name="40% - Accent2 2 6" xfId="272" xr:uid="{00000000-0005-0000-0000-0000F1090000}"/>
    <cellStyle name="40% - Accent2 2 6 2" xfId="485" xr:uid="{00000000-0005-0000-0000-0000F2090000}"/>
    <cellStyle name="40% - Accent2 2 6 2 2" xfId="910" xr:uid="{00000000-0005-0000-0000-0000F3090000}"/>
    <cellStyle name="40% - Accent2 2 6 2 2 2" xfId="2202" xr:uid="{00000000-0005-0000-0000-0000F4090000}"/>
    <cellStyle name="40% - Accent2 2 6 2 2 3" xfId="3480" xr:uid="{00000000-0005-0000-0000-0000F5090000}"/>
    <cellStyle name="40% - Accent2 2 6 2 2 4" xfId="4767" xr:uid="{00000000-0005-0000-0000-0000F6090000}"/>
    <cellStyle name="40% - Accent2 2 6 2 3" xfId="1336" xr:uid="{00000000-0005-0000-0000-0000F7090000}"/>
    <cellStyle name="40% - Accent2 2 6 2 3 2" xfId="2628" xr:uid="{00000000-0005-0000-0000-0000F8090000}"/>
    <cellStyle name="40% - Accent2 2 6 2 3 3" xfId="3906" xr:uid="{00000000-0005-0000-0000-0000F9090000}"/>
    <cellStyle name="40% - Accent2 2 6 2 3 4" xfId="5193" xr:uid="{00000000-0005-0000-0000-0000FA090000}"/>
    <cellStyle name="40% - Accent2 2 6 2 4" xfId="1776" xr:uid="{00000000-0005-0000-0000-0000FB090000}"/>
    <cellStyle name="40% - Accent2 2 6 2 5" xfId="3054" xr:uid="{00000000-0005-0000-0000-0000FC090000}"/>
    <cellStyle name="40% - Accent2 2 6 2 6" xfId="4341" xr:uid="{00000000-0005-0000-0000-0000FD090000}"/>
    <cellStyle name="40% - Accent2 2 6 3" xfId="697" xr:uid="{00000000-0005-0000-0000-0000FE090000}"/>
    <cellStyle name="40% - Accent2 2 6 3 2" xfId="1989" xr:uid="{00000000-0005-0000-0000-0000FF090000}"/>
    <cellStyle name="40% - Accent2 2 6 3 3" xfId="3267" xr:uid="{00000000-0005-0000-0000-0000000A0000}"/>
    <cellStyle name="40% - Accent2 2 6 3 4" xfId="4554" xr:uid="{00000000-0005-0000-0000-0000010A0000}"/>
    <cellStyle name="40% - Accent2 2 6 4" xfId="1123" xr:uid="{00000000-0005-0000-0000-0000020A0000}"/>
    <cellStyle name="40% - Accent2 2 6 4 2" xfId="2415" xr:uid="{00000000-0005-0000-0000-0000030A0000}"/>
    <cellStyle name="40% - Accent2 2 6 4 3" xfId="3693" xr:uid="{00000000-0005-0000-0000-0000040A0000}"/>
    <cellStyle name="40% - Accent2 2 6 4 4" xfId="4980" xr:uid="{00000000-0005-0000-0000-0000050A0000}"/>
    <cellStyle name="40% - Accent2 2 6 5" xfId="1563" xr:uid="{00000000-0005-0000-0000-0000060A0000}"/>
    <cellStyle name="40% - Accent2 2 6 6" xfId="2841" xr:uid="{00000000-0005-0000-0000-0000070A0000}"/>
    <cellStyle name="40% - Accent2 2 6 7" xfId="4128" xr:uid="{00000000-0005-0000-0000-0000080A0000}"/>
    <cellStyle name="40% - Accent2 2 7" xfId="369" xr:uid="{00000000-0005-0000-0000-0000090A0000}"/>
    <cellStyle name="40% - Accent2 2 7 2" xfId="795" xr:uid="{00000000-0005-0000-0000-00000A0A0000}"/>
    <cellStyle name="40% - Accent2 2 7 2 2" xfId="2087" xr:uid="{00000000-0005-0000-0000-00000B0A0000}"/>
    <cellStyle name="40% - Accent2 2 7 2 3" xfId="3365" xr:uid="{00000000-0005-0000-0000-00000C0A0000}"/>
    <cellStyle name="40% - Accent2 2 7 2 4" xfId="4652" xr:uid="{00000000-0005-0000-0000-00000D0A0000}"/>
    <cellStyle name="40% - Accent2 2 7 3" xfId="1221" xr:uid="{00000000-0005-0000-0000-00000E0A0000}"/>
    <cellStyle name="40% - Accent2 2 7 3 2" xfId="2513" xr:uid="{00000000-0005-0000-0000-00000F0A0000}"/>
    <cellStyle name="40% - Accent2 2 7 3 3" xfId="3791" xr:uid="{00000000-0005-0000-0000-0000100A0000}"/>
    <cellStyle name="40% - Accent2 2 7 3 4" xfId="5078" xr:uid="{00000000-0005-0000-0000-0000110A0000}"/>
    <cellStyle name="40% - Accent2 2 7 4" xfId="1661" xr:uid="{00000000-0005-0000-0000-0000120A0000}"/>
    <cellStyle name="40% - Accent2 2 7 5" xfId="2939" xr:uid="{00000000-0005-0000-0000-0000130A0000}"/>
    <cellStyle name="40% - Accent2 2 7 6" xfId="4226" xr:uid="{00000000-0005-0000-0000-0000140A0000}"/>
    <cellStyle name="40% - Accent2 2 8" xfId="582" xr:uid="{00000000-0005-0000-0000-0000150A0000}"/>
    <cellStyle name="40% - Accent2 2 8 2" xfId="1874" xr:uid="{00000000-0005-0000-0000-0000160A0000}"/>
    <cellStyle name="40% - Accent2 2 8 3" xfId="3152" xr:uid="{00000000-0005-0000-0000-0000170A0000}"/>
    <cellStyle name="40% - Accent2 2 8 4" xfId="4439" xr:uid="{00000000-0005-0000-0000-0000180A0000}"/>
    <cellStyle name="40% - Accent2 2 9" xfId="1008" xr:uid="{00000000-0005-0000-0000-0000190A0000}"/>
    <cellStyle name="40% - Accent2 2 9 2" xfId="2300" xr:uid="{00000000-0005-0000-0000-00001A0A0000}"/>
    <cellStyle name="40% - Accent2 2 9 3" xfId="3578" xr:uid="{00000000-0005-0000-0000-00001B0A0000}"/>
    <cellStyle name="40% - Accent2 2 9 4" xfId="4865" xr:uid="{00000000-0005-0000-0000-00001C0A0000}"/>
    <cellStyle name="40% - Accent2 3" xfId="158" xr:uid="{00000000-0005-0000-0000-00001D0A0000}"/>
    <cellStyle name="40% - Accent2 3 2" xfId="159" xr:uid="{00000000-0005-0000-0000-00001E0A0000}"/>
    <cellStyle name="40% - Accent2 3 2 2" xfId="376" xr:uid="{00000000-0005-0000-0000-00001F0A0000}"/>
    <cellStyle name="40% - Accent2 3 2 2 2" xfId="802" xr:uid="{00000000-0005-0000-0000-0000200A0000}"/>
    <cellStyle name="40% - Accent2 3 2 2 2 2" xfId="2094" xr:uid="{00000000-0005-0000-0000-0000210A0000}"/>
    <cellStyle name="40% - Accent2 3 2 2 2 3" xfId="3372" xr:uid="{00000000-0005-0000-0000-0000220A0000}"/>
    <cellStyle name="40% - Accent2 3 2 2 2 4" xfId="4659" xr:uid="{00000000-0005-0000-0000-0000230A0000}"/>
    <cellStyle name="40% - Accent2 3 2 2 3" xfId="1228" xr:uid="{00000000-0005-0000-0000-0000240A0000}"/>
    <cellStyle name="40% - Accent2 3 2 2 3 2" xfId="2520" xr:uid="{00000000-0005-0000-0000-0000250A0000}"/>
    <cellStyle name="40% - Accent2 3 2 2 3 3" xfId="3798" xr:uid="{00000000-0005-0000-0000-0000260A0000}"/>
    <cellStyle name="40% - Accent2 3 2 2 3 4" xfId="5085" xr:uid="{00000000-0005-0000-0000-0000270A0000}"/>
    <cellStyle name="40% - Accent2 3 2 2 4" xfId="1668" xr:uid="{00000000-0005-0000-0000-0000280A0000}"/>
    <cellStyle name="40% - Accent2 3 2 2 5" xfId="2946" xr:uid="{00000000-0005-0000-0000-0000290A0000}"/>
    <cellStyle name="40% - Accent2 3 2 2 6" xfId="4233" xr:uid="{00000000-0005-0000-0000-00002A0A0000}"/>
    <cellStyle name="40% - Accent2 3 2 3" xfId="589" xr:uid="{00000000-0005-0000-0000-00002B0A0000}"/>
    <cellStyle name="40% - Accent2 3 2 3 2" xfId="1881" xr:uid="{00000000-0005-0000-0000-00002C0A0000}"/>
    <cellStyle name="40% - Accent2 3 2 3 3" xfId="3159" xr:uid="{00000000-0005-0000-0000-00002D0A0000}"/>
    <cellStyle name="40% - Accent2 3 2 3 4" xfId="4446" xr:uid="{00000000-0005-0000-0000-00002E0A0000}"/>
    <cellStyle name="40% - Accent2 3 2 4" xfId="1015" xr:uid="{00000000-0005-0000-0000-00002F0A0000}"/>
    <cellStyle name="40% - Accent2 3 2 4 2" xfId="2307" xr:uid="{00000000-0005-0000-0000-0000300A0000}"/>
    <cellStyle name="40% - Accent2 3 2 4 3" xfId="3585" xr:uid="{00000000-0005-0000-0000-0000310A0000}"/>
    <cellStyle name="40% - Accent2 3 2 4 4" xfId="4872" xr:uid="{00000000-0005-0000-0000-0000320A0000}"/>
    <cellStyle name="40% - Accent2 3 2 5" xfId="1455" xr:uid="{00000000-0005-0000-0000-0000330A0000}"/>
    <cellStyle name="40% - Accent2 3 2 6" xfId="2733" xr:uid="{00000000-0005-0000-0000-0000340A0000}"/>
    <cellStyle name="40% - Accent2 3 2 7" xfId="4020" xr:uid="{00000000-0005-0000-0000-0000350A0000}"/>
    <cellStyle name="40% - Accent2 3 2 8" xfId="5268" xr:uid="{00000000-0005-0000-0000-0000360A0000}"/>
    <cellStyle name="40% - Accent2 3 3" xfId="375" xr:uid="{00000000-0005-0000-0000-0000370A0000}"/>
    <cellStyle name="40% - Accent2 3 3 2" xfId="801" xr:uid="{00000000-0005-0000-0000-0000380A0000}"/>
    <cellStyle name="40% - Accent2 3 3 2 2" xfId="2093" xr:uid="{00000000-0005-0000-0000-0000390A0000}"/>
    <cellStyle name="40% - Accent2 3 3 2 3" xfId="3371" xr:uid="{00000000-0005-0000-0000-00003A0A0000}"/>
    <cellStyle name="40% - Accent2 3 3 2 4" xfId="4658" xr:uid="{00000000-0005-0000-0000-00003B0A0000}"/>
    <cellStyle name="40% - Accent2 3 3 3" xfId="1227" xr:uid="{00000000-0005-0000-0000-00003C0A0000}"/>
    <cellStyle name="40% - Accent2 3 3 3 2" xfId="2519" xr:uid="{00000000-0005-0000-0000-00003D0A0000}"/>
    <cellStyle name="40% - Accent2 3 3 3 3" xfId="3797" xr:uid="{00000000-0005-0000-0000-00003E0A0000}"/>
    <cellStyle name="40% - Accent2 3 3 3 4" xfId="5084" xr:uid="{00000000-0005-0000-0000-00003F0A0000}"/>
    <cellStyle name="40% - Accent2 3 3 4" xfId="1667" xr:uid="{00000000-0005-0000-0000-0000400A0000}"/>
    <cellStyle name="40% - Accent2 3 3 5" xfId="2945" xr:uid="{00000000-0005-0000-0000-0000410A0000}"/>
    <cellStyle name="40% - Accent2 3 3 6" xfId="4232" xr:uid="{00000000-0005-0000-0000-0000420A0000}"/>
    <cellStyle name="40% - Accent2 3 4" xfId="588" xr:uid="{00000000-0005-0000-0000-0000430A0000}"/>
    <cellStyle name="40% - Accent2 3 4 2" xfId="1880" xr:uid="{00000000-0005-0000-0000-0000440A0000}"/>
    <cellStyle name="40% - Accent2 3 4 3" xfId="3158" xr:uid="{00000000-0005-0000-0000-0000450A0000}"/>
    <cellStyle name="40% - Accent2 3 4 4" xfId="4445" xr:uid="{00000000-0005-0000-0000-0000460A0000}"/>
    <cellStyle name="40% - Accent2 3 5" xfId="1014" xr:uid="{00000000-0005-0000-0000-0000470A0000}"/>
    <cellStyle name="40% - Accent2 3 5 2" xfId="2306" xr:uid="{00000000-0005-0000-0000-0000480A0000}"/>
    <cellStyle name="40% - Accent2 3 5 3" xfId="3584" xr:uid="{00000000-0005-0000-0000-0000490A0000}"/>
    <cellStyle name="40% - Accent2 3 5 4" xfId="4871" xr:uid="{00000000-0005-0000-0000-00004A0A0000}"/>
    <cellStyle name="40% - Accent2 3 6" xfId="1454" xr:uid="{00000000-0005-0000-0000-00004B0A0000}"/>
    <cellStyle name="40% - Accent2 3 7" xfId="2732" xr:uid="{00000000-0005-0000-0000-00004C0A0000}"/>
    <cellStyle name="40% - Accent2 3 8" xfId="4019" xr:uid="{00000000-0005-0000-0000-00004D0A0000}"/>
    <cellStyle name="40% - Accent2 3 9" xfId="5267" xr:uid="{00000000-0005-0000-0000-00004E0A0000}"/>
    <cellStyle name="40% - Accent2 4" xfId="160" xr:uid="{00000000-0005-0000-0000-00004F0A0000}"/>
    <cellStyle name="40% - Accent2 4 2" xfId="377" xr:uid="{00000000-0005-0000-0000-0000500A0000}"/>
    <cellStyle name="40% - Accent2 4 2 2" xfId="803" xr:uid="{00000000-0005-0000-0000-0000510A0000}"/>
    <cellStyle name="40% - Accent2 4 2 2 2" xfId="2095" xr:uid="{00000000-0005-0000-0000-0000520A0000}"/>
    <cellStyle name="40% - Accent2 4 2 2 3" xfId="3373" xr:uid="{00000000-0005-0000-0000-0000530A0000}"/>
    <cellStyle name="40% - Accent2 4 2 2 4" xfId="4660" xr:uid="{00000000-0005-0000-0000-0000540A0000}"/>
    <cellStyle name="40% - Accent2 4 2 3" xfId="1229" xr:uid="{00000000-0005-0000-0000-0000550A0000}"/>
    <cellStyle name="40% - Accent2 4 2 3 2" xfId="2521" xr:uid="{00000000-0005-0000-0000-0000560A0000}"/>
    <cellStyle name="40% - Accent2 4 2 3 3" xfId="3799" xr:uid="{00000000-0005-0000-0000-0000570A0000}"/>
    <cellStyle name="40% - Accent2 4 2 3 4" xfId="5086" xr:uid="{00000000-0005-0000-0000-0000580A0000}"/>
    <cellStyle name="40% - Accent2 4 2 4" xfId="1669" xr:uid="{00000000-0005-0000-0000-0000590A0000}"/>
    <cellStyle name="40% - Accent2 4 2 5" xfId="2947" xr:uid="{00000000-0005-0000-0000-00005A0A0000}"/>
    <cellStyle name="40% - Accent2 4 2 6" xfId="4234" xr:uid="{00000000-0005-0000-0000-00005B0A0000}"/>
    <cellStyle name="40% - Accent2 4 3" xfId="590" xr:uid="{00000000-0005-0000-0000-00005C0A0000}"/>
    <cellStyle name="40% - Accent2 4 3 2" xfId="1882" xr:uid="{00000000-0005-0000-0000-00005D0A0000}"/>
    <cellStyle name="40% - Accent2 4 3 3" xfId="3160" xr:uid="{00000000-0005-0000-0000-00005E0A0000}"/>
    <cellStyle name="40% - Accent2 4 3 4" xfId="4447" xr:uid="{00000000-0005-0000-0000-00005F0A0000}"/>
    <cellStyle name="40% - Accent2 4 4" xfId="1016" xr:uid="{00000000-0005-0000-0000-0000600A0000}"/>
    <cellStyle name="40% - Accent2 4 4 2" xfId="2308" xr:uid="{00000000-0005-0000-0000-0000610A0000}"/>
    <cellStyle name="40% - Accent2 4 4 3" xfId="3586" xr:uid="{00000000-0005-0000-0000-0000620A0000}"/>
    <cellStyle name="40% - Accent2 4 4 4" xfId="4873" xr:uid="{00000000-0005-0000-0000-0000630A0000}"/>
    <cellStyle name="40% - Accent2 4 5" xfId="1456" xr:uid="{00000000-0005-0000-0000-0000640A0000}"/>
    <cellStyle name="40% - Accent2 4 6" xfId="2734" xr:uid="{00000000-0005-0000-0000-0000650A0000}"/>
    <cellStyle name="40% - Accent2 4 7" xfId="4021" xr:uid="{00000000-0005-0000-0000-0000660A0000}"/>
    <cellStyle name="40% - Accent2 4 8" xfId="5269" xr:uid="{00000000-0005-0000-0000-0000670A0000}"/>
    <cellStyle name="40% - Accent2 5" xfId="161" xr:uid="{00000000-0005-0000-0000-0000680A0000}"/>
    <cellStyle name="40% - Accent2 5 2" xfId="378" xr:uid="{00000000-0005-0000-0000-0000690A0000}"/>
    <cellStyle name="40% - Accent2 5 2 2" xfId="804" xr:uid="{00000000-0005-0000-0000-00006A0A0000}"/>
    <cellStyle name="40% - Accent2 5 2 2 2" xfId="2096" xr:uid="{00000000-0005-0000-0000-00006B0A0000}"/>
    <cellStyle name="40% - Accent2 5 2 2 3" xfId="3374" xr:uid="{00000000-0005-0000-0000-00006C0A0000}"/>
    <cellStyle name="40% - Accent2 5 2 2 4" xfId="4661" xr:uid="{00000000-0005-0000-0000-00006D0A0000}"/>
    <cellStyle name="40% - Accent2 5 2 3" xfId="1230" xr:uid="{00000000-0005-0000-0000-00006E0A0000}"/>
    <cellStyle name="40% - Accent2 5 2 3 2" xfId="2522" xr:uid="{00000000-0005-0000-0000-00006F0A0000}"/>
    <cellStyle name="40% - Accent2 5 2 3 3" xfId="3800" xr:uid="{00000000-0005-0000-0000-0000700A0000}"/>
    <cellStyle name="40% - Accent2 5 2 3 4" xfId="5087" xr:uid="{00000000-0005-0000-0000-0000710A0000}"/>
    <cellStyle name="40% - Accent2 5 2 4" xfId="1670" xr:uid="{00000000-0005-0000-0000-0000720A0000}"/>
    <cellStyle name="40% - Accent2 5 2 5" xfId="2948" xr:uid="{00000000-0005-0000-0000-0000730A0000}"/>
    <cellStyle name="40% - Accent2 5 2 6" xfId="4235" xr:uid="{00000000-0005-0000-0000-0000740A0000}"/>
    <cellStyle name="40% - Accent2 5 3" xfId="591" xr:uid="{00000000-0005-0000-0000-0000750A0000}"/>
    <cellStyle name="40% - Accent2 5 3 2" xfId="1883" xr:uid="{00000000-0005-0000-0000-0000760A0000}"/>
    <cellStyle name="40% - Accent2 5 3 3" xfId="3161" xr:uid="{00000000-0005-0000-0000-0000770A0000}"/>
    <cellStyle name="40% - Accent2 5 3 4" xfId="4448" xr:uid="{00000000-0005-0000-0000-0000780A0000}"/>
    <cellStyle name="40% - Accent2 5 4" xfId="1017" xr:uid="{00000000-0005-0000-0000-0000790A0000}"/>
    <cellStyle name="40% - Accent2 5 4 2" xfId="2309" xr:uid="{00000000-0005-0000-0000-00007A0A0000}"/>
    <cellStyle name="40% - Accent2 5 4 3" xfId="3587" xr:uid="{00000000-0005-0000-0000-00007B0A0000}"/>
    <cellStyle name="40% - Accent2 5 4 4" xfId="4874" xr:uid="{00000000-0005-0000-0000-00007C0A0000}"/>
    <cellStyle name="40% - Accent2 5 5" xfId="1457" xr:uid="{00000000-0005-0000-0000-00007D0A0000}"/>
    <cellStyle name="40% - Accent2 5 6" xfId="2735" xr:uid="{00000000-0005-0000-0000-00007E0A0000}"/>
    <cellStyle name="40% - Accent2 5 7" xfId="4022" xr:uid="{00000000-0005-0000-0000-00007F0A0000}"/>
    <cellStyle name="40% - Accent2 6" xfId="162" xr:uid="{00000000-0005-0000-0000-0000800A0000}"/>
    <cellStyle name="40% - Accent2 6 2" xfId="379" xr:uid="{00000000-0005-0000-0000-0000810A0000}"/>
    <cellStyle name="40% - Accent2 6 2 2" xfId="805" xr:uid="{00000000-0005-0000-0000-0000820A0000}"/>
    <cellStyle name="40% - Accent2 6 2 2 2" xfId="2097" xr:uid="{00000000-0005-0000-0000-0000830A0000}"/>
    <cellStyle name="40% - Accent2 6 2 2 3" xfId="3375" xr:uid="{00000000-0005-0000-0000-0000840A0000}"/>
    <cellStyle name="40% - Accent2 6 2 2 4" xfId="4662" xr:uid="{00000000-0005-0000-0000-0000850A0000}"/>
    <cellStyle name="40% - Accent2 6 2 3" xfId="1231" xr:uid="{00000000-0005-0000-0000-0000860A0000}"/>
    <cellStyle name="40% - Accent2 6 2 3 2" xfId="2523" xr:uid="{00000000-0005-0000-0000-0000870A0000}"/>
    <cellStyle name="40% - Accent2 6 2 3 3" xfId="3801" xr:uid="{00000000-0005-0000-0000-0000880A0000}"/>
    <cellStyle name="40% - Accent2 6 2 3 4" xfId="5088" xr:uid="{00000000-0005-0000-0000-0000890A0000}"/>
    <cellStyle name="40% - Accent2 6 2 4" xfId="1671" xr:uid="{00000000-0005-0000-0000-00008A0A0000}"/>
    <cellStyle name="40% - Accent2 6 2 5" xfId="2949" xr:uid="{00000000-0005-0000-0000-00008B0A0000}"/>
    <cellStyle name="40% - Accent2 6 2 6" xfId="4236" xr:uid="{00000000-0005-0000-0000-00008C0A0000}"/>
    <cellStyle name="40% - Accent2 6 3" xfId="592" xr:uid="{00000000-0005-0000-0000-00008D0A0000}"/>
    <cellStyle name="40% - Accent2 6 3 2" xfId="1884" xr:uid="{00000000-0005-0000-0000-00008E0A0000}"/>
    <cellStyle name="40% - Accent2 6 3 3" xfId="3162" xr:uid="{00000000-0005-0000-0000-00008F0A0000}"/>
    <cellStyle name="40% - Accent2 6 3 4" xfId="4449" xr:uid="{00000000-0005-0000-0000-0000900A0000}"/>
    <cellStyle name="40% - Accent2 6 4" xfId="1018" xr:uid="{00000000-0005-0000-0000-0000910A0000}"/>
    <cellStyle name="40% - Accent2 6 4 2" xfId="2310" xr:uid="{00000000-0005-0000-0000-0000920A0000}"/>
    <cellStyle name="40% - Accent2 6 4 3" xfId="3588" xr:uid="{00000000-0005-0000-0000-0000930A0000}"/>
    <cellStyle name="40% - Accent2 6 4 4" xfId="4875" xr:uid="{00000000-0005-0000-0000-0000940A0000}"/>
    <cellStyle name="40% - Accent2 6 5" xfId="1458" xr:uid="{00000000-0005-0000-0000-0000950A0000}"/>
    <cellStyle name="40% - Accent2 6 6" xfId="2736" xr:uid="{00000000-0005-0000-0000-0000960A0000}"/>
    <cellStyle name="40% - Accent2 6 7" xfId="4023" xr:uid="{00000000-0005-0000-0000-0000970A0000}"/>
    <cellStyle name="40% - Accent2 7" xfId="261" xr:uid="{00000000-0005-0000-0000-0000980A0000}"/>
    <cellStyle name="40% - Accent2 7 2" xfId="474" xr:uid="{00000000-0005-0000-0000-0000990A0000}"/>
    <cellStyle name="40% - Accent2 7 2 2" xfId="899" xr:uid="{00000000-0005-0000-0000-00009A0A0000}"/>
    <cellStyle name="40% - Accent2 7 2 2 2" xfId="2191" xr:uid="{00000000-0005-0000-0000-00009B0A0000}"/>
    <cellStyle name="40% - Accent2 7 2 2 3" xfId="3469" xr:uid="{00000000-0005-0000-0000-00009C0A0000}"/>
    <cellStyle name="40% - Accent2 7 2 2 4" xfId="4756" xr:uid="{00000000-0005-0000-0000-00009D0A0000}"/>
    <cellStyle name="40% - Accent2 7 2 3" xfId="1325" xr:uid="{00000000-0005-0000-0000-00009E0A0000}"/>
    <cellStyle name="40% - Accent2 7 2 3 2" xfId="2617" xr:uid="{00000000-0005-0000-0000-00009F0A0000}"/>
    <cellStyle name="40% - Accent2 7 2 3 3" xfId="3895" xr:uid="{00000000-0005-0000-0000-0000A00A0000}"/>
    <cellStyle name="40% - Accent2 7 2 3 4" xfId="5182" xr:uid="{00000000-0005-0000-0000-0000A10A0000}"/>
    <cellStyle name="40% - Accent2 7 2 4" xfId="1765" xr:uid="{00000000-0005-0000-0000-0000A20A0000}"/>
    <cellStyle name="40% - Accent2 7 2 5" xfId="3043" xr:uid="{00000000-0005-0000-0000-0000A30A0000}"/>
    <cellStyle name="40% - Accent2 7 2 6" xfId="4330" xr:uid="{00000000-0005-0000-0000-0000A40A0000}"/>
    <cellStyle name="40% - Accent2 7 3" xfId="686" xr:uid="{00000000-0005-0000-0000-0000A50A0000}"/>
    <cellStyle name="40% - Accent2 7 3 2" xfId="1978" xr:uid="{00000000-0005-0000-0000-0000A60A0000}"/>
    <cellStyle name="40% - Accent2 7 3 3" xfId="3256" xr:uid="{00000000-0005-0000-0000-0000A70A0000}"/>
    <cellStyle name="40% - Accent2 7 3 4" xfId="4543" xr:uid="{00000000-0005-0000-0000-0000A80A0000}"/>
    <cellStyle name="40% - Accent2 7 4" xfId="1112" xr:uid="{00000000-0005-0000-0000-0000A90A0000}"/>
    <cellStyle name="40% - Accent2 7 4 2" xfId="2404" xr:uid="{00000000-0005-0000-0000-0000AA0A0000}"/>
    <cellStyle name="40% - Accent2 7 4 3" xfId="3682" xr:uid="{00000000-0005-0000-0000-0000AB0A0000}"/>
    <cellStyle name="40% - Accent2 7 4 4" xfId="4969" xr:uid="{00000000-0005-0000-0000-0000AC0A0000}"/>
    <cellStyle name="40% - Accent2 7 5" xfId="1552" xr:uid="{00000000-0005-0000-0000-0000AD0A0000}"/>
    <cellStyle name="40% - Accent2 7 6" xfId="2830" xr:uid="{00000000-0005-0000-0000-0000AE0A0000}"/>
    <cellStyle name="40% - Accent2 7 7" xfId="4117" xr:uid="{00000000-0005-0000-0000-0000AF0A0000}"/>
    <cellStyle name="40% - Accent2 8" xfId="368" xr:uid="{00000000-0005-0000-0000-0000B00A0000}"/>
    <cellStyle name="40% - Accent2 8 2" xfId="794" xr:uid="{00000000-0005-0000-0000-0000B10A0000}"/>
    <cellStyle name="40% - Accent2 8 2 2" xfId="2086" xr:uid="{00000000-0005-0000-0000-0000B20A0000}"/>
    <cellStyle name="40% - Accent2 8 2 3" xfId="3364" xr:uid="{00000000-0005-0000-0000-0000B30A0000}"/>
    <cellStyle name="40% - Accent2 8 2 4" xfId="4651" xr:uid="{00000000-0005-0000-0000-0000B40A0000}"/>
    <cellStyle name="40% - Accent2 8 3" xfId="1220" xr:uid="{00000000-0005-0000-0000-0000B50A0000}"/>
    <cellStyle name="40% - Accent2 8 3 2" xfId="2512" xr:uid="{00000000-0005-0000-0000-0000B60A0000}"/>
    <cellStyle name="40% - Accent2 8 3 3" xfId="3790" xr:uid="{00000000-0005-0000-0000-0000B70A0000}"/>
    <cellStyle name="40% - Accent2 8 3 4" xfId="5077" xr:uid="{00000000-0005-0000-0000-0000B80A0000}"/>
    <cellStyle name="40% - Accent2 8 4" xfId="1660" xr:uid="{00000000-0005-0000-0000-0000B90A0000}"/>
    <cellStyle name="40% - Accent2 8 5" xfId="2938" xr:uid="{00000000-0005-0000-0000-0000BA0A0000}"/>
    <cellStyle name="40% - Accent2 8 6" xfId="4225" xr:uid="{00000000-0005-0000-0000-0000BB0A0000}"/>
    <cellStyle name="40% - Accent2 9" xfId="581" xr:uid="{00000000-0005-0000-0000-0000BC0A0000}"/>
    <cellStyle name="40% - Accent2 9 2" xfId="1873" xr:uid="{00000000-0005-0000-0000-0000BD0A0000}"/>
    <cellStyle name="40% - Accent2 9 3" xfId="3151" xr:uid="{00000000-0005-0000-0000-0000BE0A0000}"/>
    <cellStyle name="40% - Accent2 9 4" xfId="4438" xr:uid="{00000000-0005-0000-0000-0000BF0A0000}"/>
    <cellStyle name="40% - Accent3" xfId="67" builtinId="39" customBuiltin="1"/>
    <cellStyle name="40% - Accent3 10" xfId="1019" xr:uid="{00000000-0005-0000-0000-0000C10A0000}"/>
    <cellStyle name="40% - Accent3 10 2" xfId="2311" xr:uid="{00000000-0005-0000-0000-0000C20A0000}"/>
    <cellStyle name="40% - Accent3 10 3" xfId="3589" xr:uid="{00000000-0005-0000-0000-0000C30A0000}"/>
    <cellStyle name="40% - Accent3 10 4" xfId="4876" xr:uid="{00000000-0005-0000-0000-0000C40A0000}"/>
    <cellStyle name="40% - Accent3 11" xfId="1459" xr:uid="{00000000-0005-0000-0000-0000C50A0000}"/>
    <cellStyle name="40% - Accent3 12" xfId="2737" xr:uid="{00000000-0005-0000-0000-0000C60A0000}"/>
    <cellStyle name="40% - Accent3 13" xfId="4024" xr:uid="{00000000-0005-0000-0000-0000C70A0000}"/>
    <cellStyle name="40% - Accent3 14" xfId="5270" xr:uid="{00000000-0005-0000-0000-0000C80A0000}"/>
    <cellStyle name="40% - Accent3 2" xfId="18" xr:uid="{00000000-0005-0000-0000-0000C90A0000}"/>
    <cellStyle name="40% - Accent3 2 10" xfId="1460" xr:uid="{00000000-0005-0000-0000-0000CA0A0000}"/>
    <cellStyle name="40% - Accent3 2 11" xfId="2738" xr:uid="{00000000-0005-0000-0000-0000CB0A0000}"/>
    <cellStyle name="40% - Accent3 2 12" xfId="4025" xr:uid="{00000000-0005-0000-0000-0000CC0A0000}"/>
    <cellStyle name="40% - Accent3 2 13" xfId="5271" xr:uid="{00000000-0005-0000-0000-0000CD0A0000}"/>
    <cellStyle name="40% - Accent3 2 2" xfId="163" xr:uid="{00000000-0005-0000-0000-0000CE0A0000}"/>
    <cellStyle name="40% - Accent3 2 2 2" xfId="164" xr:uid="{00000000-0005-0000-0000-0000CF0A0000}"/>
    <cellStyle name="40% - Accent3 2 2 2 2" xfId="383" xr:uid="{00000000-0005-0000-0000-0000D00A0000}"/>
    <cellStyle name="40% - Accent3 2 2 2 2 2" xfId="809" xr:uid="{00000000-0005-0000-0000-0000D10A0000}"/>
    <cellStyle name="40% - Accent3 2 2 2 2 2 2" xfId="2101" xr:uid="{00000000-0005-0000-0000-0000D20A0000}"/>
    <cellStyle name="40% - Accent3 2 2 2 2 2 3" xfId="3379" xr:uid="{00000000-0005-0000-0000-0000D30A0000}"/>
    <cellStyle name="40% - Accent3 2 2 2 2 2 4" xfId="4666" xr:uid="{00000000-0005-0000-0000-0000D40A0000}"/>
    <cellStyle name="40% - Accent3 2 2 2 2 3" xfId="1235" xr:uid="{00000000-0005-0000-0000-0000D50A0000}"/>
    <cellStyle name="40% - Accent3 2 2 2 2 3 2" xfId="2527" xr:uid="{00000000-0005-0000-0000-0000D60A0000}"/>
    <cellStyle name="40% - Accent3 2 2 2 2 3 3" xfId="3805" xr:uid="{00000000-0005-0000-0000-0000D70A0000}"/>
    <cellStyle name="40% - Accent3 2 2 2 2 3 4" xfId="5092" xr:uid="{00000000-0005-0000-0000-0000D80A0000}"/>
    <cellStyle name="40% - Accent3 2 2 2 2 4" xfId="1675" xr:uid="{00000000-0005-0000-0000-0000D90A0000}"/>
    <cellStyle name="40% - Accent3 2 2 2 2 5" xfId="2953" xr:uid="{00000000-0005-0000-0000-0000DA0A0000}"/>
    <cellStyle name="40% - Accent3 2 2 2 2 6" xfId="4240" xr:uid="{00000000-0005-0000-0000-0000DB0A0000}"/>
    <cellStyle name="40% - Accent3 2 2 2 3" xfId="596" xr:uid="{00000000-0005-0000-0000-0000DC0A0000}"/>
    <cellStyle name="40% - Accent3 2 2 2 3 2" xfId="1888" xr:uid="{00000000-0005-0000-0000-0000DD0A0000}"/>
    <cellStyle name="40% - Accent3 2 2 2 3 3" xfId="3166" xr:uid="{00000000-0005-0000-0000-0000DE0A0000}"/>
    <cellStyle name="40% - Accent3 2 2 2 3 4" xfId="4453" xr:uid="{00000000-0005-0000-0000-0000DF0A0000}"/>
    <cellStyle name="40% - Accent3 2 2 2 4" xfId="1022" xr:uid="{00000000-0005-0000-0000-0000E00A0000}"/>
    <cellStyle name="40% - Accent3 2 2 2 4 2" xfId="2314" xr:uid="{00000000-0005-0000-0000-0000E10A0000}"/>
    <cellStyle name="40% - Accent3 2 2 2 4 3" xfId="3592" xr:uid="{00000000-0005-0000-0000-0000E20A0000}"/>
    <cellStyle name="40% - Accent3 2 2 2 4 4" xfId="4879" xr:uid="{00000000-0005-0000-0000-0000E30A0000}"/>
    <cellStyle name="40% - Accent3 2 2 2 5" xfId="1462" xr:uid="{00000000-0005-0000-0000-0000E40A0000}"/>
    <cellStyle name="40% - Accent3 2 2 2 6" xfId="2740" xr:uid="{00000000-0005-0000-0000-0000E50A0000}"/>
    <cellStyle name="40% - Accent3 2 2 2 7" xfId="4027" xr:uid="{00000000-0005-0000-0000-0000E60A0000}"/>
    <cellStyle name="40% - Accent3 2 2 2 8" xfId="5273" xr:uid="{00000000-0005-0000-0000-0000E70A0000}"/>
    <cellStyle name="40% - Accent3 2 2 3" xfId="382" xr:uid="{00000000-0005-0000-0000-0000E80A0000}"/>
    <cellStyle name="40% - Accent3 2 2 3 2" xfId="808" xr:uid="{00000000-0005-0000-0000-0000E90A0000}"/>
    <cellStyle name="40% - Accent3 2 2 3 2 2" xfId="2100" xr:uid="{00000000-0005-0000-0000-0000EA0A0000}"/>
    <cellStyle name="40% - Accent3 2 2 3 2 3" xfId="3378" xr:uid="{00000000-0005-0000-0000-0000EB0A0000}"/>
    <cellStyle name="40% - Accent3 2 2 3 2 4" xfId="4665" xr:uid="{00000000-0005-0000-0000-0000EC0A0000}"/>
    <cellStyle name="40% - Accent3 2 2 3 3" xfId="1234" xr:uid="{00000000-0005-0000-0000-0000ED0A0000}"/>
    <cellStyle name="40% - Accent3 2 2 3 3 2" xfId="2526" xr:uid="{00000000-0005-0000-0000-0000EE0A0000}"/>
    <cellStyle name="40% - Accent3 2 2 3 3 3" xfId="3804" xr:uid="{00000000-0005-0000-0000-0000EF0A0000}"/>
    <cellStyle name="40% - Accent3 2 2 3 3 4" xfId="5091" xr:uid="{00000000-0005-0000-0000-0000F00A0000}"/>
    <cellStyle name="40% - Accent3 2 2 3 4" xfId="1674" xr:uid="{00000000-0005-0000-0000-0000F10A0000}"/>
    <cellStyle name="40% - Accent3 2 2 3 5" xfId="2952" xr:uid="{00000000-0005-0000-0000-0000F20A0000}"/>
    <cellStyle name="40% - Accent3 2 2 3 6" xfId="4239" xr:uid="{00000000-0005-0000-0000-0000F30A0000}"/>
    <cellStyle name="40% - Accent3 2 2 4" xfId="595" xr:uid="{00000000-0005-0000-0000-0000F40A0000}"/>
    <cellStyle name="40% - Accent3 2 2 4 2" xfId="1887" xr:uid="{00000000-0005-0000-0000-0000F50A0000}"/>
    <cellStyle name="40% - Accent3 2 2 4 3" xfId="3165" xr:uid="{00000000-0005-0000-0000-0000F60A0000}"/>
    <cellStyle name="40% - Accent3 2 2 4 4" xfId="4452" xr:uid="{00000000-0005-0000-0000-0000F70A0000}"/>
    <cellStyle name="40% - Accent3 2 2 5" xfId="1021" xr:uid="{00000000-0005-0000-0000-0000F80A0000}"/>
    <cellStyle name="40% - Accent3 2 2 5 2" xfId="2313" xr:uid="{00000000-0005-0000-0000-0000F90A0000}"/>
    <cellStyle name="40% - Accent3 2 2 5 3" xfId="3591" xr:uid="{00000000-0005-0000-0000-0000FA0A0000}"/>
    <cellStyle name="40% - Accent3 2 2 5 4" xfId="4878" xr:uid="{00000000-0005-0000-0000-0000FB0A0000}"/>
    <cellStyle name="40% - Accent3 2 2 6" xfId="1461" xr:uid="{00000000-0005-0000-0000-0000FC0A0000}"/>
    <cellStyle name="40% - Accent3 2 2 7" xfId="2739" xr:uid="{00000000-0005-0000-0000-0000FD0A0000}"/>
    <cellStyle name="40% - Accent3 2 2 8" xfId="4026" xr:uid="{00000000-0005-0000-0000-0000FE0A0000}"/>
    <cellStyle name="40% - Accent3 2 2 9" xfId="5272" xr:uid="{00000000-0005-0000-0000-0000FF0A0000}"/>
    <cellStyle name="40% - Accent3 2 3" xfId="165" xr:uid="{00000000-0005-0000-0000-0000000B0000}"/>
    <cellStyle name="40% - Accent3 2 3 2" xfId="384" xr:uid="{00000000-0005-0000-0000-0000010B0000}"/>
    <cellStyle name="40% - Accent3 2 3 2 2" xfId="810" xr:uid="{00000000-0005-0000-0000-0000020B0000}"/>
    <cellStyle name="40% - Accent3 2 3 2 2 2" xfId="2102" xr:uid="{00000000-0005-0000-0000-0000030B0000}"/>
    <cellStyle name="40% - Accent3 2 3 2 2 3" xfId="3380" xr:uid="{00000000-0005-0000-0000-0000040B0000}"/>
    <cellStyle name="40% - Accent3 2 3 2 2 4" xfId="4667" xr:uid="{00000000-0005-0000-0000-0000050B0000}"/>
    <cellStyle name="40% - Accent3 2 3 2 3" xfId="1236" xr:uid="{00000000-0005-0000-0000-0000060B0000}"/>
    <cellStyle name="40% - Accent3 2 3 2 3 2" xfId="2528" xr:uid="{00000000-0005-0000-0000-0000070B0000}"/>
    <cellStyle name="40% - Accent3 2 3 2 3 3" xfId="3806" xr:uid="{00000000-0005-0000-0000-0000080B0000}"/>
    <cellStyle name="40% - Accent3 2 3 2 3 4" xfId="5093" xr:uid="{00000000-0005-0000-0000-0000090B0000}"/>
    <cellStyle name="40% - Accent3 2 3 2 4" xfId="1676" xr:uid="{00000000-0005-0000-0000-00000A0B0000}"/>
    <cellStyle name="40% - Accent3 2 3 2 5" xfId="2954" xr:uid="{00000000-0005-0000-0000-00000B0B0000}"/>
    <cellStyle name="40% - Accent3 2 3 2 6" xfId="4241" xr:uid="{00000000-0005-0000-0000-00000C0B0000}"/>
    <cellStyle name="40% - Accent3 2 3 3" xfId="597" xr:uid="{00000000-0005-0000-0000-00000D0B0000}"/>
    <cellStyle name="40% - Accent3 2 3 3 2" xfId="1889" xr:uid="{00000000-0005-0000-0000-00000E0B0000}"/>
    <cellStyle name="40% - Accent3 2 3 3 3" xfId="3167" xr:uid="{00000000-0005-0000-0000-00000F0B0000}"/>
    <cellStyle name="40% - Accent3 2 3 3 4" xfId="4454" xr:uid="{00000000-0005-0000-0000-0000100B0000}"/>
    <cellStyle name="40% - Accent3 2 3 4" xfId="1023" xr:uid="{00000000-0005-0000-0000-0000110B0000}"/>
    <cellStyle name="40% - Accent3 2 3 4 2" xfId="2315" xr:uid="{00000000-0005-0000-0000-0000120B0000}"/>
    <cellStyle name="40% - Accent3 2 3 4 3" xfId="3593" xr:uid="{00000000-0005-0000-0000-0000130B0000}"/>
    <cellStyle name="40% - Accent3 2 3 4 4" xfId="4880" xr:uid="{00000000-0005-0000-0000-0000140B0000}"/>
    <cellStyle name="40% - Accent3 2 3 5" xfId="1463" xr:uid="{00000000-0005-0000-0000-0000150B0000}"/>
    <cellStyle name="40% - Accent3 2 3 6" xfId="2741" xr:uid="{00000000-0005-0000-0000-0000160B0000}"/>
    <cellStyle name="40% - Accent3 2 3 7" xfId="4028" xr:uid="{00000000-0005-0000-0000-0000170B0000}"/>
    <cellStyle name="40% - Accent3 2 3 8" xfId="5274" xr:uid="{00000000-0005-0000-0000-0000180B0000}"/>
    <cellStyle name="40% - Accent3 2 4" xfId="166" xr:uid="{00000000-0005-0000-0000-0000190B0000}"/>
    <cellStyle name="40% - Accent3 2 4 2" xfId="385" xr:uid="{00000000-0005-0000-0000-00001A0B0000}"/>
    <cellStyle name="40% - Accent3 2 4 2 2" xfId="811" xr:uid="{00000000-0005-0000-0000-00001B0B0000}"/>
    <cellStyle name="40% - Accent3 2 4 2 2 2" xfId="2103" xr:uid="{00000000-0005-0000-0000-00001C0B0000}"/>
    <cellStyle name="40% - Accent3 2 4 2 2 3" xfId="3381" xr:uid="{00000000-0005-0000-0000-00001D0B0000}"/>
    <cellStyle name="40% - Accent3 2 4 2 2 4" xfId="4668" xr:uid="{00000000-0005-0000-0000-00001E0B0000}"/>
    <cellStyle name="40% - Accent3 2 4 2 3" xfId="1237" xr:uid="{00000000-0005-0000-0000-00001F0B0000}"/>
    <cellStyle name="40% - Accent3 2 4 2 3 2" xfId="2529" xr:uid="{00000000-0005-0000-0000-0000200B0000}"/>
    <cellStyle name="40% - Accent3 2 4 2 3 3" xfId="3807" xr:uid="{00000000-0005-0000-0000-0000210B0000}"/>
    <cellStyle name="40% - Accent3 2 4 2 3 4" xfId="5094" xr:uid="{00000000-0005-0000-0000-0000220B0000}"/>
    <cellStyle name="40% - Accent3 2 4 2 4" xfId="1677" xr:uid="{00000000-0005-0000-0000-0000230B0000}"/>
    <cellStyle name="40% - Accent3 2 4 2 5" xfId="2955" xr:uid="{00000000-0005-0000-0000-0000240B0000}"/>
    <cellStyle name="40% - Accent3 2 4 2 6" xfId="4242" xr:uid="{00000000-0005-0000-0000-0000250B0000}"/>
    <cellStyle name="40% - Accent3 2 4 3" xfId="598" xr:uid="{00000000-0005-0000-0000-0000260B0000}"/>
    <cellStyle name="40% - Accent3 2 4 3 2" xfId="1890" xr:uid="{00000000-0005-0000-0000-0000270B0000}"/>
    <cellStyle name="40% - Accent3 2 4 3 3" xfId="3168" xr:uid="{00000000-0005-0000-0000-0000280B0000}"/>
    <cellStyle name="40% - Accent3 2 4 3 4" xfId="4455" xr:uid="{00000000-0005-0000-0000-0000290B0000}"/>
    <cellStyle name="40% - Accent3 2 4 4" xfId="1024" xr:uid="{00000000-0005-0000-0000-00002A0B0000}"/>
    <cellStyle name="40% - Accent3 2 4 4 2" xfId="2316" xr:uid="{00000000-0005-0000-0000-00002B0B0000}"/>
    <cellStyle name="40% - Accent3 2 4 4 3" xfId="3594" xr:uid="{00000000-0005-0000-0000-00002C0B0000}"/>
    <cellStyle name="40% - Accent3 2 4 4 4" xfId="4881" xr:uid="{00000000-0005-0000-0000-00002D0B0000}"/>
    <cellStyle name="40% - Accent3 2 4 5" xfId="1464" xr:uid="{00000000-0005-0000-0000-00002E0B0000}"/>
    <cellStyle name="40% - Accent3 2 4 6" xfId="2742" xr:uid="{00000000-0005-0000-0000-00002F0B0000}"/>
    <cellStyle name="40% - Accent3 2 4 7" xfId="4029" xr:uid="{00000000-0005-0000-0000-0000300B0000}"/>
    <cellStyle name="40% - Accent3 2 5" xfId="167" xr:uid="{00000000-0005-0000-0000-0000310B0000}"/>
    <cellStyle name="40% - Accent3 2 5 2" xfId="386" xr:uid="{00000000-0005-0000-0000-0000320B0000}"/>
    <cellStyle name="40% - Accent3 2 5 2 2" xfId="812" xr:uid="{00000000-0005-0000-0000-0000330B0000}"/>
    <cellStyle name="40% - Accent3 2 5 2 2 2" xfId="2104" xr:uid="{00000000-0005-0000-0000-0000340B0000}"/>
    <cellStyle name="40% - Accent3 2 5 2 2 3" xfId="3382" xr:uid="{00000000-0005-0000-0000-0000350B0000}"/>
    <cellStyle name="40% - Accent3 2 5 2 2 4" xfId="4669" xr:uid="{00000000-0005-0000-0000-0000360B0000}"/>
    <cellStyle name="40% - Accent3 2 5 2 3" xfId="1238" xr:uid="{00000000-0005-0000-0000-0000370B0000}"/>
    <cellStyle name="40% - Accent3 2 5 2 3 2" xfId="2530" xr:uid="{00000000-0005-0000-0000-0000380B0000}"/>
    <cellStyle name="40% - Accent3 2 5 2 3 3" xfId="3808" xr:uid="{00000000-0005-0000-0000-0000390B0000}"/>
    <cellStyle name="40% - Accent3 2 5 2 3 4" xfId="5095" xr:uid="{00000000-0005-0000-0000-00003A0B0000}"/>
    <cellStyle name="40% - Accent3 2 5 2 4" xfId="1678" xr:uid="{00000000-0005-0000-0000-00003B0B0000}"/>
    <cellStyle name="40% - Accent3 2 5 2 5" xfId="2956" xr:uid="{00000000-0005-0000-0000-00003C0B0000}"/>
    <cellStyle name="40% - Accent3 2 5 2 6" xfId="4243" xr:uid="{00000000-0005-0000-0000-00003D0B0000}"/>
    <cellStyle name="40% - Accent3 2 5 3" xfId="599" xr:uid="{00000000-0005-0000-0000-00003E0B0000}"/>
    <cellStyle name="40% - Accent3 2 5 3 2" xfId="1891" xr:uid="{00000000-0005-0000-0000-00003F0B0000}"/>
    <cellStyle name="40% - Accent3 2 5 3 3" xfId="3169" xr:uid="{00000000-0005-0000-0000-0000400B0000}"/>
    <cellStyle name="40% - Accent3 2 5 3 4" xfId="4456" xr:uid="{00000000-0005-0000-0000-0000410B0000}"/>
    <cellStyle name="40% - Accent3 2 5 4" xfId="1025" xr:uid="{00000000-0005-0000-0000-0000420B0000}"/>
    <cellStyle name="40% - Accent3 2 5 4 2" xfId="2317" xr:uid="{00000000-0005-0000-0000-0000430B0000}"/>
    <cellStyle name="40% - Accent3 2 5 4 3" xfId="3595" xr:uid="{00000000-0005-0000-0000-0000440B0000}"/>
    <cellStyle name="40% - Accent3 2 5 4 4" xfId="4882" xr:uid="{00000000-0005-0000-0000-0000450B0000}"/>
    <cellStyle name="40% - Accent3 2 5 5" xfId="1465" xr:uid="{00000000-0005-0000-0000-0000460B0000}"/>
    <cellStyle name="40% - Accent3 2 5 6" xfId="2743" xr:uid="{00000000-0005-0000-0000-0000470B0000}"/>
    <cellStyle name="40% - Accent3 2 5 7" xfId="4030" xr:uid="{00000000-0005-0000-0000-0000480B0000}"/>
    <cellStyle name="40% - Accent3 2 6" xfId="274" xr:uid="{00000000-0005-0000-0000-0000490B0000}"/>
    <cellStyle name="40% - Accent3 2 6 2" xfId="487" xr:uid="{00000000-0005-0000-0000-00004A0B0000}"/>
    <cellStyle name="40% - Accent3 2 6 2 2" xfId="912" xr:uid="{00000000-0005-0000-0000-00004B0B0000}"/>
    <cellStyle name="40% - Accent3 2 6 2 2 2" xfId="2204" xr:uid="{00000000-0005-0000-0000-00004C0B0000}"/>
    <cellStyle name="40% - Accent3 2 6 2 2 3" xfId="3482" xr:uid="{00000000-0005-0000-0000-00004D0B0000}"/>
    <cellStyle name="40% - Accent3 2 6 2 2 4" xfId="4769" xr:uid="{00000000-0005-0000-0000-00004E0B0000}"/>
    <cellStyle name="40% - Accent3 2 6 2 3" xfId="1338" xr:uid="{00000000-0005-0000-0000-00004F0B0000}"/>
    <cellStyle name="40% - Accent3 2 6 2 3 2" xfId="2630" xr:uid="{00000000-0005-0000-0000-0000500B0000}"/>
    <cellStyle name="40% - Accent3 2 6 2 3 3" xfId="3908" xr:uid="{00000000-0005-0000-0000-0000510B0000}"/>
    <cellStyle name="40% - Accent3 2 6 2 3 4" xfId="5195" xr:uid="{00000000-0005-0000-0000-0000520B0000}"/>
    <cellStyle name="40% - Accent3 2 6 2 4" xfId="1778" xr:uid="{00000000-0005-0000-0000-0000530B0000}"/>
    <cellStyle name="40% - Accent3 2 6 2 5" xfId="3056" xr:uid="{00000000-0005-0000-0000-0000540B0000}"/>
    <cellStyle name="40% - Accent3 2 6 2 6" xfId="4343" xr:uid="{00000000-0005-0000-0000-0000550B0000}"/>
    <cellStyle name="40% - Accent3 2 6 3" xfId="699" xr:uid="{00000000-0005-0000-0000-0000560B0000}"/>
    <cellStyle name="40% - Accent3 2 6 3 2" xfId="1991" xr:uid="{00000000-0005-0000-0000-0000570B0000}"/>
    <cellStyle name="40% - Accent3 2 6 3 3" xfId="3269" xr:uid="{00000000-0005-0000-0000-0000580B0000}"/>
    <cellStyle name="40% - Accent3 2 6 3 4" xfId="4556" xr:uid="{00000000-0005-0000-0000-0000590B0000}"/>
    <cellStyle name="40% - Accent3 2 6 4" xfId="1125" xr:uid="{00000000-0005-0000-0000-00005A0B0000}"/>
    <cellStyle name="40% - Accent3 2 6 4 2" xfId="2417" xr:uid="{00000000-0005-0000-0000-00005B0B0000}"/>
    <cellStyle name="40% - Accent3 2 6 4 3" xfId="3695" xr:uid="{00000000-0005-0000-0000-00005C0B0000}"/>
    <cellStyle name="40% - Accent3 2 6 4 4" xfId="4982" xr:uid="{00000000-0005-0000-0000-00005D0B0000}"/>
    <cellStyle name="40% - Accent3 2 6 5" xfId="1565" xr:uid="{00000000-0005-0000-0000-00005E0B0000}"/>
    <cellStyle name="40% - Accent3 2 6 6" xfId="2843" xr:uid="{00000000-0005-0000-0000-00005F0B0000}"/>
    <cellStyle name="40% - Accent3 2 6 7" xfId="4130" xr:uid="{00000000-0005-0000-0000-0000600B0000}"/>
    <cellStyle name="40% - Accent3 2 7" xfId="381" xr:uid="{00000000-0005-0000-0000-0000610B0000}"/>
    <cellStyle name="40% - Accent3 2 7 2" xfId="807" xr:uid="{00000000-0005-0000-0000-0000620B0000}"/>
    <cellStyle name="40% - Accent3 2 7 2 2" xfId="2099" xr:uid="{00000000-0005-0000-0000-0000630B0000}"/>
    <cellStyle name="40% - Accent3 2 7 2 3" xfId="3377" xr:uid="{00000000-0005-0000-0000-0000640B0000}"/>
    <cellStyle name="40% - Accent3 2 7 2 4" xfId="4664" xr:uid="{00000000-0005-0000-0000-0000650B0000}"/>
    <cellStyle name="40% - Accent3 2 7 3" xfId="1233" xr:uid="{00000000-0005-0000-0000-0000660B0000}"/>
    <cellStyle name="40% - Accent3 2 7 3 2" xfId="2525" xr:uid="{00000000-0005-0000-0000-0000670B0000}"/>
    <cellStyle name="40% - Accent3 2 7 3 3" xfId="3803" xr:uid="{00000000-0005-0000-0000-0000680B0000}"/>
    <cellStyle name="40% - Accent3 2 7 3 4" xfId="5090" xr:uid="{00000000-0005-0000-0000-0000690B0000}"/>
    <cellStyle name="40% - Accent3 2 7 4" xfId="1673" xr:uid="{00000000-0005-0000-0000-00006A0B0000}"/>
    <cellStyle name="40% - Accent3 2 7 5" xfId="2951" xr:uid="{00000000-0005-0000-0000-00006B0B0000}"/>
    <cellStyle name="40% - Accent3 2 7 6" xfId="4238" xr:uid="{00000000-0005-0000-0000-00006C0B0000}"/>
    <cellStyle name="40% - Accent3 2 8" xfId="594" xr:uid="{00000000-0005-0000-0000-00006D0B0000}"/>
    <cellStyle name="40% - Accent3 2 8 2" xfId="1886" xr:uid="{00000000-0005-0000-0000-00006E0B0000}"/>
    <cellStyle name="40% - Accent3 2 8 3" xfId="3164" xr:uid="{00000000-0005-0000-0000-00006F0B0000}"/>
    <cellStyle name="40% - Accent3 2 8 4" xfId="4451" xr:uid="{00000000-0005-0000-0000-0000700B0000}"/>
    <cellStyle name="40% - Accent3 2 9" xfId="1020" xr:uid="{00000000-0005-0000-0000-0000710B0000}"/>
    <cellStyle name="40% - Accent3 2 9 2" xfId="2312" xr:uid="{00000000-0005-0000-0000-0000720B0000}"/>
    <cellStyle name="40% - Accent3 2 9 3" xfId="3590" xr:uid="{00000000-0005-0000-0000-0000730B0000}"/>
    <cellStyle name="40% - Accent3 2 9 4" xfId="4877" xr:uid="{00000000-0005-0000-0000-0000740B0000}"/>
    <cellStyle name="40% - Accent3 3" xfId="168" xr:uid="{00000000-0005-0000-0000-0000750B0000}"/>
    <cellStyle name="40% - Accent3 3 2" xfId="169" xr:uid="{00000000-0005-0000-0000-0000760B0000}"/>
    <cellStyle name="40% - Accent3 3 2 2" xfId="388" xr:uid="{00000000-0005-0000-0000-0000770B0000}"/>
    <cellStyle name="40% - Accent3 3 2 2 2" xfId="814" xr:uid="{00000000-0005-0000-0000-0000780B0000}"/>
    <cellStyle name="40% - Accent3 3 2 2 2 2" xfId="2106" xr:uid="{00000000-0005-0000-0000-0000790B0000}"/>
    <cellStyle name="40% - Accent3 3 2 2 2 3" xfId="3384" xr:uid="{00000000-0005-0000-0000-00007A0B0000}"/>
    <cellStyle name="40% - Accent3 3 2 2 2 4" xfId="4671" xr:uid="{00000000-0005-0000-0000-00007B0B0000}"/>
    <cellStyle name="40% - Accent3 3 2 2 3" xfId="1240" xr:uid="{00000000-0005-0000-0000-00007C0B0000}"/>
    <cellStyle name="40% - Accent3 3 2 2 3 2" xfId="2532" xr:uid="{00000000-0005-0000-0000-00007D0B0000}"/>
    <cellStyle name="40% - Accent3 3 2 2 3 3" xfId="3810" xr:uid="{00000000-0005-0000-0000-00007E0B0000}"/>
    <cellStyle name="40% - Accent3 3 2 2 3 4" xfId="5097" xr:uid="{00000000-0005-0000-0000-00007F0B0000}"/>
    <cellStyle name="40% - Accent3 3 2 2 4" xfId="1680" xr:uid="{00000000-0005-0000-0000-0000800B0000}"/>
    <cellStyle name="40% - Accent3 3 2 2 5" xfId="2958" xr:uid="{00000000-0005-0000-0000-0000810B0000}"/>
    <cellStyle name="40% - Accent3 3 2 2 6" xfId="4245" xr:uid="{00000000-0005-0000-0000-0000820B0000}"/>
    <cellStyle name="40% - Accent3 3 2 3" xfId="601" xr:uid="{00000000-0005-0000-0000-0000830B0000}"/>
    <cellStyle name="40% - Accent3 3 2 3 2" xfId="1893" xr:uid="{00000000-0005-0000-0000-0000840B0000}"/>
    <cellStyle name="40% - Accent3 3 2 3 3" xfId="3171" xr:uid="{00000000-0005-0000-0000-0000850B0000}"/>
    <cellStyle name="40% - Accent3 3 2 3 4" xfId="4458" xr:uid="{00000000-0005-0000-0000-0000860B0000}"/>
    <cellStyle name="40% - Accent3 3 2 4" xfId="1027" xr:uid="{00000000-0005-0000-0000-0000870B0000}"/>
    <cellStyle name="40% - Accent3 3 2 4 2" xfId="2319" xr:uid="{00000000-0005-0000-0000-0000880B0000}"/>
    <cellStyle name="40% - Accent3 3 2 4 3" xfId="3597" xr:uid="{00000000-0005-0000-0000-0000890B0000}"/>
    <cellStyle name="40% - Accent3 3 2 4 4" xfId="4884" xr:uid="{00000000-0005-0000-0000-00008A0B0000}"/>
    <cellStyle name="40% - Accent3 3 2 5" xfId="1467" xr:uid="{00000000-0005-0000-0000-00008B0B0000}"/>
    <cellStyle name="40% - Accent3 3 2 6" xfId="2745" xr:uid="{00000000-0005-0000-0000-00008C0B0000}"/>
    <cellStyle name="40% - Accent3 3 2 7" xfId="4032" xr:uid="{00000000-0005-0000-0000-00008D0B0000}"/>
    <cellStyle name="40% - Accent3 3 2 8" xfId="5276" xr:uid="{00000000-0005-0000-0000-00008E0B0000}"/>
    <cellStyle name="40% - Accent3 3 3" xfId="387" xr:uid="{00000000-0005-0000-0000-00008F0B0000}"/>
    <cellStyle name="40% - Accent3 3 3 2" xfId="813" xr:uid="{00000000-0005-0000-0000-0000900B0000}"/>
    <cellStyle name="40% - Accent3 3 3 2 2" xfId="2105" xr:uid="{00000000-0005-0000-0000-0000910B0000}"/>
    <cellStyle name="40% - Accent3 3 3 2 3" xfId="3383" xr:uid="{00000000-0005-0000-0000-0000920B0000}"/>
    <cellStyle name="40% - Accent3 3 3 2 4" xfId="4670" xr:uid="{00000000-0005-0000-0000-0000930B0000}"/>
    <cellStyle name="40% - Accent3 3 3 3" xfId="1239" xr:uid="{00000000-0005-0000-0000-0000940B0000}"/>
    <cellStyle name="40% - Accent3 3 3 3 2" xfId="2531" xr:uid="{00000000-0005-0000-0000-0000950B0000}"/>
    <cellStyle name="40% - Accent3 3 3 3 3" xfId="3809" xr:uid="{00000000-0005-0000-0000-0000960B0000}"/>
    <cellStyle name="40% - Accent3 3 3 3 4" xfId="5096" xr:uid="{00000000-0005-0000-0000-0000970B0000}"/>
    <cellStyle name="40% - Accent3 3 3 4" xfId="1679" xr:uid="{00000000-0005-0000-0000-0000980B0000}"/>
    <cellStyle name="40% - Accent3 3 3 5" xfId="2957" xr:uid="{00000000-0005-0000-0000-0000990B0000}"/>
    <cellStyle name="40% - Accent3 3 3 6" xfId="4244" xr:uid="{00000000-0005-0000-0000-00009A0B0000}"/>
    <cellStyle name="40% - Accent3 3 4" xfId="600" xr:uid="{00000000-0005-0000-0000-00009B0B0000}"/>
    <cellStyle name="40% - Accent3 3 4 2" xfId="1892" xr:uid="{00000000-0005-0000-0000-00009C0B0000}"/>
    <cellStyle name="40% - Accent3 3 4 3" xfId="3170" xr:uid="{00000000-0005-0000-0000-00009D0B0000}"/>
    <cellStyle name="40% - Accent3 3 4 4" xfId="4457" xr:uid="{00000000-0005-0000-0000-00009E0B0000}"/>
    <cellStyle name="40% - Accent3 3 5" xfId="1026" xr:uid="{00000000-0005-0000-0000-00009F0B0000}"/>
    <cellStyle name="40% - Accent3 3 5 2" xfId="2318" xr:uid="{00000000-0005-0000-0000-0000A00B0000}"/>
    <cellStyle name="40% - Accent3 3 5 3" xfId="3596" xr:uid="{00000000-0005-0000-0000-0000A10B0000}"/>
    <cellStyle name="40% - Accent3 3 5 4" xfId="4883" xr:uid="{00000000-0005-0000-0000-0000A20B0000}"/>
    <cellStyle name="40% - Accent3 3 6" xfId="1466" xr:uid="{00000000-0005-0000-0000-0000A30B0000}"/>
    <cellStyle name="40% - Accent3 3 7" xfId="2744" xr:uid="{00000000-0005-0000-0000-0000A40B0000}"/>
    <cellStyle name="40% - Accent3 3 8" xfId="4031" xr:uid="{00000000-0005-0000-0000-0000A50B0000}"/>
    <cellStyle name="40% - Accent3 3 9" xfId="5275" xr:uid="{00000000-0005-0000-0000-0000A60B0000}"/>
    <cellStyle name="40% - Accent3 4" xfId="170" xr:uid="{00000000-0005-0000-0000-0000A70B0000}"/>
    <cellStyle name="40% - Accent3 4 2" xfId="389" xr:uid="{00000000-0005-0000-0000-0000A80B0000}"/>
    <cellStyle name="40% - Accent3 4 2 2" xfId="815" xr:uid="{00000000-0005-0000-0000-0000A90B0000}"/>
    <cellStyle name="40% - Accent3 4 2 2 2" xfId="2107" xr:uid="{00000000-0005-0000-0000-0000AA0B0000}"/>
    <cellStyle name="40% - Accent3 4 2 2 3" xfId="3385" xr:uid="{00000000-0005-0000-0000-0000AB0B0000}"/>
    <cellStyle name="40% - Accent3 4 2 2 4" xfId="4672" xr:uid="{00000000-0005-0000-0000-0000AC0B0000}"/>
    <cellStyle name="40% - Accent3 4 2 3" xfId="1241" xr:uid="{00000000-0005-0000-0000-0000AD0B0000}"/>
    <cellStyle name="40% - Accent3 4 2 3 2" xfId="2533" xr:uid="{00000000-0005-0000-0000-0000AE0B0000}"/>
    <cellStyle name="40% - Accent3 4 2 3 3" xfId="3811" xr:uid="{00000000-0005-0000-0000-0000AF0B0000}"/>
    <cellStyle name="40% - Accent3 4 2 3 4" xfId="5098" xr:uid="{00000000-0005-0000-0000-0000B00B0000}"/>
    <cellStyle name="40% - Accent3 4 2 4" xfId="1681" xr:uid="{00000000-0005-0000-0000-0000B10B0000}"/>
    <cellStyle name="40% - Accent3 4 2 5" xfId="2959" xr:uid="{00000000-0005-0000-0000-0000B20B0000}"/>
    <cellStyle name="40% - Accent3 4 2 6" xfId="4246" xr:uid="{00000000-0005-0000-0000-0000B30B0000}"/>
    <cellStyle name="40% - Accent3 4 3" xfId="602" xr:uid="{00000000-0005-0000-0000-0000B40B0000}"/>
    <cellStyle name="40% - Accent3 4 3 2" xfId="1894" xr:uid="{00000000-0005-0000-0000-0000B50B0000}"/>
    <cellStyle name="40% - Accent3 4 3 3" xfId="3172" xr:uid="{00000000-0005-0000-0000-0000B60B0000}"/>
    <cellStyle name="40% - Accent3 4 3 4" xfId="4459" xr:uid="{00000000-0005-0000-0000-0000B70B0000}"/>
    <cellStyle name="40% - Accent3 4 4" xfId="1028" xr:uid="{00000000-0005-0000-0000-0000B80B0000}"/>
    <cellStyle name="40% - Accent3 4 4 2" xfId="2320" xr:uid="{00000000-0005-0000-0000-0000B90B0000}"/>
    <cellStyle name="40% - Accent3 4 4 3" xfId="3598" xr:uid="{00000000-0005-0000-0000-0000BA0B0000}"/>
    <cellStyle name="40% - Accent3 4 4 4" xfId="4885" xr:uid="{00000000-0005-0000-0000-0000BB0B0000}"/>
    <cellStyle name="40% - Accent3 4 5" xfId="1468" xr:uid="{00000000-0005-0000-0000-0000BC0B0000}"/>
    <cellStyle name="40% - Accent3 4 6" xfId="2746" xr:uid="{00000000-0005-0000-0000-0000BD0B0000}"/>
    <cellStyle name="40% - Accent3 4 7" xfId="4033" xr:uid="{00000000-0005-0000-0000-0000BE0B0000}"/>
    <cellStyle name="40% - Accent3 4 8" xfId="5277" xr:uid="{00000000-0005-0000-0000-0000BF0B0000}"/>
    <cellStyle name="40% - Accent3 5" xfId="171" xr:uid="{00000000-0005-0000-0000-0000C00B0000}"/>
    <cellStyle name="40% - Accent3 5 2" xfId="390" xr:uid="{00000000-0005-0000-0000-0000C10B0000}"/>
    <cellStyle name="40% - Accent3 5 2 2" xfId="816" xr:uid="{00000000-0005-0000-0000-0000C20B0000}"/>
    <cellStyle name="40% - Accent3 5 2 2 2" xfId="2108" xr:uid="{00000000-0005-0000-0000-0000C30B0000}"/>
    <cellStyle name="40% - Accent3 5 2 2 3" xfId="3386" xr:uid="{00000000-0005-0000-0000-0000C40B0000}"/>
    <cellStyle name="40% - Accent3 5 2 2 4" xfId="4673" xr:uid="{00000000-0005-0000-0000-0000C50B0000}"/>
    <cellStyle name="40% - Accent3 5 2 3" xfId="1242" xr:uid="{00000000-0005-0000-0000-0000C60B0000}"/>
    <cellStyle name="40% - Accent3 5 2 3 2" xfId="2534" xr:uid="{00000000-0005-0000-0000-0000C70B0000}"/>
    <cellStyle name="40% - Accent3 5 2 3 3" xfId="3812" xr:uid="{00000000-0005-0000-0000-0000C80B0000}"/>
    <cellStyle name="40% - Accent3 5 2 3 4" xfId="5099" xr:uid="{00000000-0005-0000-0000-0000C90B0000}"/>
    <cellStyle name="40% - Accent3 5 2 4" xfId="1682" xr:uid="{00000000-0005-0000-0000-0000CA0B0000}"/>
    <cellStyle name="40% - Accent3 5 2 5" xfId="2960" xr:uid="{00000000-0005-0000-0000-0000CB0B0000}"/>
    <cellStyle name="40% - Accent3 5 2 6" xfId="4247" xr:uid="{00000000-0005-0000-0000-0000CC0B0000}"/>
    <cellStyle name="40% - Accent3 5 3" xfId="603" xr:uid="{00000000-0005-0000-0000-0000CD0B0000}"/>
    <cellStyle name="40% - Accent3 5 3 2" xfId="1895" xr:uid="{00000000-0005-0000-0000-0000CE0B0000}"/>
    <cellStyle name="40% - Accent3 5 3 3" xfId="3173" xr:uid="{00000000-0005-0000-0000-0000CF0B0000}"/>
    <cellStyle name="40% - Accent3 5 3 4" xfId="4460" xr:uid="{00000000-0005-0000-0000-0000D00B0000}"/>
    <cellStyle name="40% - Accent3 5 4" xfId="1029" xr:uid="{00000000-0005-0000-0000-0000D10B0000}"/>
    <cellStyle name="40% - Accent3 5 4 2" xfId="2321" xr:uid="{00000000-0005-0000-0000-0000D20B0000}"/>
    <cellStyle name="40% - Accent3 5 4 3" xfId="3599" xr:uid="{00000000-0005-0000-0000-0000D30B0000}"/>
    <cellStyle name="40% - Accent3 5 4 4" xfId="4886" xr:uid="{00000000-0005-0000-0000-0000D40B0000}"/>
    <cellStyle name="40% - Accent3 5 5" xfId="1469" xr:uid="{00000000-0005-0000-0000-0000D50B0000}"/>
    <cellStyle name="40% - Accent3 5 6" xfId="2747" xr:uid="{00000000-0005-0000-0000-0000D60B0000}"/>
    <cellStyle name="40% - Accent3 5 7" xfId="4034" xr:uid="{00000000-0005-0000-0000-0000D70B0000}"/>
    <cellStyle name="40% - Accent3 6" xfId="172" xr:uid="{00000000-0005-0000-0000-0000D80B0000}"/>
    <cellStyle name="40% - Accent3 6 2" xfId="391" xr:uid="{00000000-0005-0000-0000-0000D90B0000}"/>
    <cellStyle name="40% - Accent3 6 2 2" xfId="817" xr:uid="{00000000-0005-0000-0000-0000DA0B0000}"/>
    <cellStyle name="40% - Accent3 6 2 2 2" xfId="2109" xr:uid="{00000000-0005-0000-0000-0000DB0B0000}"/>
    <cellStyle name="40% - Accent3 6 2 2 3" xfId="3387" xr:uid="{00000000-0005-0000-0000-0000DC0B0000}"/>
    <cellStyle name="40% - Accent3 6 2 2 4" xfId="4674" xr:uid="{00000000-0005-0000-0000-0000DD0B0000}"/>
    <cellStyle name="40% - Accent3 6 2 3" xfId="1243" xr:uid="{00000000-0005-0000-0000-0000DE0B0000}"/>
    <cellStyle name="40% - Accent3 6 2 3 2" xfId="2535" xr:uid="{00000000-0005-0000-0000-0000DF0B0000}"/>
    <cellStyle name="40% - Accent3 6 2 3 3" xfId="3813" xr:uid="{00000000-0005-0000-0000-0000E00B0000}"/>
    <cellStyle name="40% - Accent3 6 2 3 4" xfId="5100" xr:uid="{00000000-0005-0000-0000-0000E10B0000}"/>
    <cellStyle name="40% - Accent3 6 2 4" xfId="1683" xr:uid="{00000000-0005-0000-0000-0000E20B0000}"/>
    <cellStyle name="40% - Accent3 6 2 5" xfId="2961" xr:uid="{00000000-0005-0000-0000-0000E30B0000}"/>
    <cellStyle name="40% - Accent3 6 2 6" xfId="4248" xr:uid="{00000000-0005-0000-0000-0000E40B0000}"/>
    <cellStyle name="40% - Accent3 6 3" xfId="604" xr:uid="{00000000-0005-0000-0000-0000E50B0000}"/>
    <cellStyle name="40% - Accent3 6 3 2" xfId="1896" xr:uid="{00000000-0005-0000-0000-0000E60B0000}"/>
    <cellStyle name="40% - Accent3 6 3 3" xfId="3174" xr:uid="{00000000-0005-0000-0000-0000E70B0000}"/>
    <cellStyle name="40% - Accent3 6 3 4" xfId="4461" xr:uid="{00000000-0005-0000-0000-0000E80B0000}"/>
    <cellStyle name="40% - Accent3 6 4" xfId="1030" xr:uid="{00000000-0005-0000-0000-0000E90B0000}"/>
    <cellStyle name="40% - Accent3 6 4 2" xfId="2322" xr:uid="{00000000-0005-0000-0000-0000EA0B0000}"/>
    <cellStyle name="40% - Accent3 6 4 3" xfId="3600" xr:uid="{00000000-0005-0000-0000-0000EB0B0000}"/>
    <cellStyle name="40% - Accent3 6 4 4" xfId="4887" xr:uid="{00000000-0005-0000-0000-0000EC0B0000}"/>
    <cellStyle name="40% - Accent3 6 5" xfId="1470" xr:uid="{00000000-0005-0000-0000-0000ED0B0000}"/>
    <cellStyle name="40% - Accent3 6 6" xfId="2748" xr:uid="{00000000-0005-0000-0000-0000EE0B0000}"/>
    <cellStyle name="40% - Accent3 6 7" xfId="4035" xr:uid="{00000000-0005-0000-0000-0000EF0B0000}"/>
    <cellStyle name="40% - Accent3 7" xfId="262" xr:uid="{00000000-0005-0000-0000-0000F00B0000}"/>
    <cellStyle name="40% - Accent3 7 2" xfId="475" xr:uid="{00000000-0005-0000-0000-0000F10B0000}"/>
    <cellStyle name="40% - Accent3 7 2 2" xfId="900" xr:uid="{00000000-0005-0000-0000-0000F20B0000}"/>
    <cellStyle name="40% - Accent3 7 2 2 2" xfId="2192" xr:uid="{00000000-0005-0000-0000-0000F30B0000}"/>
    <cellStyle name="40% - Accent3 7 2 2 3" xfId="3470" xr:uid="{00000000-0005-0000-0000-0000F40B0000}"/>
    <cellStyle name="40% - Accent3 7 2 2 4" xfId="4757" xr:uid="{00000000-0005-0000-0000-0000F50B0000}"/>
    <cellStyle name="40% - Accent3 7 2 3" xfId="1326" xr:uid="{00000000-0005-0000-0000-0000F60B0000}"/>
    <cellStyle name="40% - Accent3 7 2 3 2" xfId="2618" xr:uid="{00000000-0005-0000-0000-0000F70B0000}"/>
    <cellStyle name="40% - Accent3 7 2 3 3" xfId="3896" xr:uid="{00000000-0005-0000-0000-0000F80B0000}"/>
    <cellStyle name="40% - Accent3 7 2 3 4" xfId="5183" xr:uid="{00000000-0005-0000-0000-0000F90B0000}"/>
    <cellStyle name="40% - Accent3 7 2 4" xfId="1766" xr:uid="{00000000-0005-0000-0000-0000FA0B0000}"/>
    <cellStyle name="40% - Accent3 7 2 5" xfId="3044" xr:uid="{00000000-0005-0000-0000-0000FB0B0000}"/>
    <cellStyle name="40% - Accent3 7 2 6" xfId="4331" xr:uid="{00000000-0005-0000-0000-0000FC0B0000}"/>
    <cellStyle name="40% - Accent3 7 3" xfId="687" xr:uid="{00000000-0005-0000-0000-0000FD0B0000}"/>
    <cellStyle name="40% - Accent3 7 3 2" xfId="1979" xr:uid="{00000000-0005-0000-0000-0000FE0B0000}"/>
    <cellStyle name="40% - Accent3 7 3 3" xfId="3257" xr:uid="{00000000-0005-0000-0000-0000FF0B0000}"/>
    <cellStyle name="40% - Accent3 7 3 4" xfId="4544" xr:uid="{00000000-0005-0000-0000-0000000C0000}"/>
    <cellStyle name="40% - Accent3 7 4" xfId="1113" xr:uid="{00000000-0005-0000-0000-0000010C0000}"/>
    <cellStyle name="40% - Accent3 7 4 2" xfId="2405" xr:uid="{00000000-0005-0000-0000-0000020C0000}"/>
    <cellStyle name="40% - Accent3 7 4 3" xfId="3683" xr:uid="{00000000-0005-0000-0000-0000030C0000}"/>
    <cellStyle name="40% - Accent3 7 4 4" xfId="4970" xr:uid="{00000000-0005-0000-0000-0000040C0000}"/>
    <cellStyle name="40% - Accent3 7 5" xfId="1553" xr:uid="{00000000-0005-0000-0000-0000050C0000}"/>
    <cellStyle name="40% - Accent3 7 6" xfId="2831" xr:uid="{00000000-0005-0000-0000-0000060C0000}"/>
    <cellStyle name="40% - Accent3 7 7" xfId="4118" xr:uid="{00000000-0005-0000-0000-0000070C0000}"/>
    <cellStyle name="40% - Accent3 8" xfId="380" xr:uid="{00000000-0005-0000-0000-0000080C0000}"/>
    <cellStyle name="40% - Accent3 8 2" xfId="806" xr:uid="{00000000-0005-0000-0000-0000090C0000}"/>
    <cellStyle name="40% - Accent3 8 2 2" xfId="2098" xr:uid="{00000000-0005-0000-0000-00000A0C0000}"/>
    <cellStyle name="40% - Accent3 8 2 3" xfId="3376" xr:uid="{00000000-0005-0000-0000-00000B0C0000}"/>
    <cellStyle name="40% - Accent3 8 2 4" xfId="4663" xr:uid="{00000000-0005-0000-0000-00000C0C0000}"/>
    <cellStyle name="40% - Accent3 8 3" xfId="1232" xr:uid="{00000000-0005-0000-0000-00000D0C0000}"/>
    <cellStyle name="40% - Accent3 8 3 2" xfId="2524" xr:uid="{00000000-0005-0000-0000-00000E0C0000}"/>
    <cellStyle name="40% - Accent3 8 3 3" xfId="3802" xr:uid="{00000000-0005-0000-0000-00000F0C0000}"/>
    <cellStyle name="40% - Accent3 8 3 4" xfId="5089" xr:uid="{00000000-0005-0000-0000-0000100C0000}"/>
    <cellStyle name="40% - Accent3 8 4" xfId="1672" xr:uid="{00000000-0005-0000-0000-0000110C0000}"/>
    <cellStyle name="40% - Accent3 8 5" xfId="2950" xr:uid="{00000000-0005-0000-0000-0000120C0000}"/>
    <cellStyle name="40% - Accent3 8 6" xfId="4237" xr:uid="{00000000-0005-0000-0000-0000130C0000}"/>
    <cellStyle name="40% - Accent3 9" xfId="593" xr:uid="{00000000-0005-0000-0000-0000140C0000}"/>
    <cellStyle name="40% - Accent3 9 2" xfId="1885" xr:uid="{00000000-0005-0000-0000-0000150C0000}"/>
    <cellStyle name="40% - Accent3 9 3" xfId="3163" xr:uid="{00000000-0005-0000-0000-0000160C0000}"/>
    <cellStyle name="40% - Accent3 9 4" xfId="4450" xr:uid="{00000000-0005-0000-0000-0000170C0000}"/>
    <cellStyle name="40% - Accent4" xfId="4" builtinId="43" customBuiltin="1"/>
    <cellStyle name="40% - Accent4 10" xfId="1031" xr:uid="{00000000-0005-0000-0000-0000190C0000}"/>
    <cellStyle name="40% - Accent4 10 2" xfId="2323" xr:uid="{00000000-0005-0000-0000-00001A0C0000}"/>
    <cellStyle name="40% - Accent4 10 3" xfId="3601" xr:uid="{00000000-0005-0000-0000-00001B0C0000}"/>
    <cellStyle name="40% - Accent4 10 4" xfId="4888" xr:uid="{00000000-0005-0000-0000-00001C0C0000}"/>
    <cellStyle name="40% - Accent4 11" xfId="1471" xr:uid="{00000000-0005-0000-0000-00001D0C0000}"/>
    <cellStyle name="40% - Accent4 12" xfId="2749" xr:uid="{00000000-0005-0000-0000-00001E0C0000}"/>
    <cellStyle name="40% - Accent4 13" xfId="4036" xr:uid="{00000000-0005-0000-0000-00001F0C0000}"/>
    <cellStyle name="40% - Accent4 14" xfId="5278" xr:uid="{00000000-0005-0000-0000-0000200C0000}"/>
    <cellStyle name="40% - Accent4 2" xfId="19" xr:uid="{00000000-0005-0000-0000-0000210C0000}"/>
    <cellStyle name="40% - Accent4 2 10" xfId="1472" xr:uid="{00000000-0005-0000-0000-0000220C0000}"/>
    <cellStyle name="40% - Accent4 2 11" xfId="2750" xr:uid="{00000000-0005-0000-0000-0000230C0000}"/>
    <cellStyle name="40% - Accent4 2 12" xfId="4037" xr:uid="{00000000-0005-0000-0000-0000240C0000}"/>
    <cellStyle name="40% - Accent4 2 13" xfId="5279" xr:uid="{00000000-0005-0000-0000-0000250C0000}"/>
    <cellStyle name="40% - Accent4 2 2" xfId="173" xr:uid="{00000000-0005-0000-0000-0000260C0000}"/>
    <cellStyle name="40% - Accent4 2 2 2" xfId="174" xr:uid="{00000000-0005-0000-0000-0000270C0000}"/>
    <cellStyle name="40% - Accent4 2 2 2 2" xfId="395" xr:uid="{00000000-0005-0000-0000-0000280C0000}"/>
    <cellStyle name="40% - Accent4 2 2 2 2 2" xfId="821" xr:uid="{00000000-0005-0000-0000-0000290C0000}"/>
    <cellStyle name="40% - Accent4 2 2 2 2 2 2" xfId="2113" xr:uid="{00000000-0005-0000-0000-00002A0C0000}"/>
    <cellStyle name="40% - Accent4 2 2 2 2 2 3" xfId="3391" xr:uid="{00000000-0005-0000-0000-00002B0C0000}"/>
    <cellStyle name="40% - Accent4 2 2 2 2 2 4" xfId="4678" xr:uid="{00000000-0005-0000-0000-00002C0C0000}"/>
    <cellStyle name="40% - Accent4 2 2 2 2 3" xfId="1247" xr:uid="{00000000-0005-0000-0000-00002D0C0000}"/>
    <cellStyle name="40% - Accent4 2 2 2 2 3 2" xfId="2539" xr:uid="{00000000-0005-0000-0000-00002E0C0000}"/>
    <cellStyle name="40% - Accent4 2 2 2 2 3 3" xfId="3817" xr:uid="{00000000-0005-0000-0000-00002F0C0000}"/>
    <cellStyle name="40% - Accent4 2 2 2 2 3 4" xfId="5104" xr:uid="{00000000-0005-0000-0000-0000300C0000}"/>
    <cellStyle name="40% - Accent4 2 2 2 2 4" xfId="1687" xr:uid="{00000000-0005-0000-0000-0000310C0000}"/>
    <cellStyle name="40% - Accent4 2 2 2 2 5" xfId="2965" xr:uid="{00000000-0005-0000-0000-0000320C0000}"/>
    <cellStyle name="40% - Accent4 2 2 2 2 6" xfId="4252" xr:uid="{00000000-0005-0000-0000-0000330C0000}"/>
    <cellStyle name="40% - Accent4 2 2 2 3" xfId="608" xr:uid="{00000000-0005-0000-0000-0000340C0000}"/>
    <cellStyle name="40% - Accent4 2 2 2 3 2" xfId="1900" xr:uid="{00000000-0005-0000-0000-0000350C0000}"/>
    <cellStyle name="40% - Accent4 2 2 2 3 3" xfId="3178" xr:uid="{00000000-0005-0000-0000-0000360C0000}"/>
    <cellStyle name="40% - Accent4 2 2 2 3 4" xfId="4465" xr:uid="{00000000-0005-0000-0000-0000370C0000}"/>
    <cellStyle name="40% - Accent4 2 2 2 4" xfId="1034" xr:uid="{00000000-0005-0000-0000-0000380C0000}"/>
    <cellStyle name="40% - Accent4 2 2 2 4 2" xfId="2326" xr:uid="{00000000-0005-0000-0000-0000390C0000}"/>
    <cellStyle name="40% - Accent4 2 2 2 4 3" xfId="3604" xr:uid="{00000000-0005-0000-0000-00003A0C0000}"/>
    <cellStyle name="40% - Accent4 2 2 2 4 4" xfId="4891" xr:uid="{00000000-0005-0000-0000-00003B0C0000}"/>
    <cellStyle name="40% - Accent4 2 2 2 5" xfId="1474" xr:uid="{00000000-0005-0000-0000-00003C0C0000}"/>
    <cellStyle name="40% - Accent4 2 2 2 6" xfId="2752" xr:uid="{00000000-0005-0000-0000-00003D0C0000}"/>
    <cellStyle name="40% - Accent4 2 2 2 7" xfId="4039" xr:uid="{00000000-0005-0000-0000-00003E0C0000}"/>
    <cellStyle name="40% - Accent4 2 2 2 8" xfId="5281" xr:uid="{00000000-0005-0000-0000-00003F0C0000}"/>
    <cellStyle name="40% - Accent4 2 2 3" xfId="394" xr:uid="{00000000-0005-0000-0000-0000400C0000}"/>
    <cellStyle name="40% - Accent4 2 2 3 2" xfId="820" xr:uid="{00000000-0005-0000-0000-0000410C0000}"/>
    <cellStyle name="40% - Accent4 2 2 3 2 2" xfId="2112" xr:uid="{00000000-0005-0000-0000-0000420C0000}"/>
    <cellStyle name="40% - Accent4 2 2 3 2 3" xfId="3390" xr:uid="{00000000-0005-0000-0000-0000430C0000}"/>
    <cellStyle name="40% - Accent4 2 2 3 2 4" xfId="4677" xr:uid="{00000000-0005-0000-0000-0000440C0000}"/>
    <cellStyle name="40% - Accent4 2 2 3 3" xfId="1246" xr:uid="{00000000-0005-0000-0000-0000450C0000}"/>
    <cellStyle name="40% - Accent4 2 2 3 3 2" xfId="2538" xr:uid="{00000000-0005-0000-0000-0000460C0000}"/>
    <cellStyle name="40% - Accent4 2 2 3 3 3" xfId="3816" xr:uid="{00000000-0005-0000-0000-0000470C0000}"/>
    <cellStyle name="40% - Accent4 2 2 3 3 4" xfId="5103" xr:uid="{00000000-0005-0000-0000-0000480C0000}"/>
    <cellStyle name="40% - Accent4 2 2 3 4" xfId="1686" xr:uid="{00000000-0005-0000-0000-0000490C0000}"/>
    <cellStyle name="40% - Accent4 2 2 3 5" xfId="2964" xr:uid="{00000000-0005-0000-0000-00004A0C0000}"/>
    <cellStyle name="40% - Accent4 2 2 3 6" xfId="4251" xr:uid="{00000000-0005-0000-0000-00004B0C0000}"/>
    <cellStyle name="40% - Accent4 2 2 4" xfId="607" xr:uid="{00000000-0005-0000-0000-00004C0C0000}"/>
    <cellStyle name="40% - Accent4 2 2 4 2" xfId="1899" xr:uid="{00000000-0005-0000-0000-00004D0C0000}"/>
    <cellStyle name="40% - Accent4 2 2 4 3" xfId="3177" xr:uid="{00000000-0005-0000-0000-00004E0C0000}"/>
    <cellStyle name="40% - Accent4 2 2 4 4" xfId="4464" xr:uid="{00000000-0005-0000-0000-00004F0C0000}"/>
    <cellStyle name="40% - Accent4 2 2 5" xfId="1033" xr:uid="{00000000-0005-0000-0000-0000500C0000}"/>
    <cellStyle name="40% - Accent4 2 2 5 2" xfId="2325" xr:uid="{00000000-0005-0000-0000-0000510C0000}"/>
    <cellStyle name="40% - Accent4 2 2 5 3" xfId="3603" xr:uid="{00000000-0005-0000-0000-0000520C0000}"/>
    <cellStyle name="40% - Accent4 2 2 5 4" xfId="4890" xr:uid="{00000000-0005-0000-0000-0000530C0000}"/>
    <cellStyle name="40% - Accent4 2 2 6" xfId="1473" xr:uid="{00000000-0005-0000-0000-0000540C0000}"/>
    <cellStyle name="40% - Accent4 2 2 7" xfId="2751" xr:uid="{00000000-0005-0000-0000-0000550C0000}"/>
    <cellStyle name="40% - Accent4 2 2 8" xfId="4038" xr:uid="{00000000-0005-0000-0000-0000560C0000}"/>
    <cellStyle name="40% - Accent4 2 2 9" xfId="5280" xr:uid="{00000000-0005-0000-0000-0000570C0000}"/>
    <cellStyle name="40% - Accent4 2 3" xfId="175" xr:uid="{00000000-0005-0000-0000-0000580C0000}"/>
    <cellStyle name="40% - Accent4 2 3 2" xfId="396" xr:uid="{00000000-0005-0000-0000-0000590C0000}"/>
    <cellStyle name="40% - Accent4 2 3 2 2" xfId="822" xr:uid="{00000000-0005-0000-0000-00005A0C0000}"/>
    <cellStyle name="40% - Accent4 2 3 2 2 2" xfId="2114" xr:uid="{00000000-0005-0000-0000-00005B0C0000}"/>
    <cellStyle name="40% - Accent4 2 3 2 2 3" xfId="3392" xr:uid="{00000000-0005-0000-0000-00005C0C0000}"/>
    <cellStyle name="40% - Accent4 2 3 2 2 4" xfId="4679" xr:uid="{00000000-0005-0000-0000-00005D0C0000}"/>
    <cellStyle name="40% - Accent4 2 3 2 3" xfId="1248" xr:uid="{00000000-0005-0000-0000-00005E0C0000}"/>
    <cellStyle name="40% - Accent4 2 3 2 3 2" xfId="2540" xr:uid="{00000000-0005-0000-0000-00005F0C0000}"/>
    <cellStyle name="40% - Accent4 2 3 2 3 3" xfId="3818" xr:uid="{00000000-0005-0000-0000-0000600C0000}"/>
    <cellStyle name="40% - Accent4 2 3 2 3 4" xfId="5105" xr:uid="{00000000-0005-0000-0000-0000610C0000}"/>
    <cellStyle name="40% - Accent4 2 3 2 4" xfId="1688" xr:uid="{00000000-0005-0000-0000-0000620C0000}"/>
    <cellStyle name="40% - Accent4 2 3 2 5" xfId="2966" xr:uid="{00000000-0005-0000-0000-0000630C0000}"/>
    <cellStyle name="40% - Accent4 2 3 2 6" xfId="4253" xr:uid="{00000000-0005-0000-0000-0000640C0000}"/>
    <cellStyle name="40% - Accent4 2 3 3" xfId="609" xr:uid="{00000000-0005-0000-0000-0000650C0000}"/>
    <cellStyle name="40% - Accent4 2 3 3 2" xfId="1901" xr:uid="{00000000-0005-0000-0000-0000660C0000}"/>
    <cellStyle name="40% - Accent4 2 3 3 3" xfId="3179" xr:uid="{00000000-0005-0000-0000-0000670C0000}"/>
    <cellStyle name="40% - Accent4 2 3 3 4" xfId="4466" xr:uid="{00000000-0005-0000-0000-0000680C0000}"/>
    <cellStyle name="40% - Accent4 2 3 4" xfId="1035" xr:uid="{00000000-0005-0000-0000-0000690C0000}"/>
    <cellStyle name="40% - Accent4 2 3 4 2" xfId="2327" xr:uid="{00000000-0005-0000-0000-00006A0C0000}"/>
    <cellStyle name="40% - Accent4 2 3 4 3" xfId="3605" xr:uid="{00000000-0005-0000-0000-00006B0C0000}"/>
    <cellStyle name="40% - Accent4 2 3 4 4" xfId="4892" xr:uid="{00000000-0005-0000-0000-00006C0C0000}"/>
    <cellStyle name="40% - Accent4 2 3 5" xfId="1475" xr:uid="{00000000-0005-0000-0000-00006D0C0000}"/>
    <cellStyle name="40% - Accent4 2 3 6" xfId="2753" xr:uid="{00000000-0005-0000-0000-00006E0C0000}"/>
    <cellStyle name="40% - Accent4 2 3 7" xfId="4040" xr:uid="{00000000-0005-0000-0000-00006F0C0000}"/>
    <cellStyle name="40% - Accent4 2 3 8" xfId="5282" xr:uid="{00000000-0005-0000-0000-0000700C0000}"/>
    <cellStyle name="40% - Accent4 2 4" xfId="176" xr:uid="{00000000-0005-0000-0000-0000710C0000}"/>
    <cellStyle name="40% - Accent4 2 4 2" xfId="397" xr:uid="{00000000-0005-0000-0000-0000720C0000}"/>
    <cellStyle name="40% - Accent4 2 4 2 2" xfId="823" xr:uid="{00000000-0005-0000-0000-0000730C0000}"/>
    <cellStyle name="40% - Accent4 2 4 2 2 2" xfId="2115" xr:uid="{00000000-0005-0000-0000-0000740C0000}"/>
    <cellStyle name="40% - Accent4 2 4 2 2 3" xfId="3393" xr:uid="{00000000-0005-0000-0000-0000750C0000}"/>
    <cellStyle name="40% - Accent4 2 4 2 2 4" xfId="4680" xr:uid="{00000000-0005-0000-0000-0000760C0000}"/>
    <cellStyle name="40% - Accent4 2 4 2 3" xfId="1249" xr:uid="{00000000-0005-0000-0000-0000770C0000}"/>
    <cellStyle name="40% - Accent4 2 4 2 3 2" xfId="2541" xr:uid="{00000000-0005-0000-0000-0000780C0000}"/>
    <cellStyle name="40% - Accent4 2 4 2 3 3" xfId="3819" xr:uid="{00000000-0005-0000-0000-0000790C0000}"/>
    <cellStyle name="40% - Accent4 2 4 2 3 4" xfId="5106" xr:uid="{00000000-0005-0000-0000-00007A0C0000}"/>
    <cellStyle name="40% - Accent4 2 4 2 4" xfId="1689" xr:uid="{00000000-0005-0000-0000-00007B0C0000}"/>
    <cellStyle name="40% - Accent4 2 4 2 5" xfId="2967" xr:uid="{00000000-0005-0000-0000-00007C0C0000}"/>
    <cellStyle name="40% - Accent4 2 4 2 6" xfId="4254" xr:uid="{00000000-0005-0000-0000-00007D0C0000}"/>
    <cellStyle name="40% - Accent4 2 4 3" xfId="610" xr:uid="{00000000-0005-0000-0000-00007E0C0000}"/>
    <cellStyle name="40% - Accent4 2 4 3 2" xfId="1902" xr:uid="{00000000-0005-0000-0000-00007F0C0000}"/>
    <cellStyle name="40% - Accent4 2 4 3 3" xfId="3180" xr:uid="{00000000-0005-0000-0000-0000800C0000}"/>
    <cellStyle name="40% - Accent4 2 4 3 4" xfId="4467" xr:uid="{00000000-0005-0000-0000-0000810C0000}"/>
    <cellStyle name="40% - Accent4 2 4 4" xfId="1036" xr:uid="{00000000-0005-0000-0000-0000820C0000}"/>
    <cellStyle name="40% - Accent4 2 4 4 2" xfId="2328" xr:uid="{00000000-0005-0000-0000-0000830C0000}"/>
    <cellStyle name="40% - Accent4 2 4 4 3" xfId="3606" xr:uid="{00000000-0005-0000-0000-0000840C0000}"/>
    <cellStyle name="40% - Accent4 2 4 4 4" xfId="4893" xr:uid="{00000000-0005-0000-0000-0000850C0000}"/>
    <cellStyle name="40% - Accent4 2 4 5" xfId="1476" xr:uid="{00000000-0005-0000-0000-0000860C0000}"/>
    <cellStyle name="40% - Accent4 2 4 6" xfId="2754" xr:uid="{00000000-0005-0000-0000-0000870C0000}"/>
    <cellStyle name="40% - Accent4 2 4 7" xfId="4041" xr:uid="{00000000-0005-0000-0000-0000880C0000}"/>
    <cellStyle name="40% - Accent4 2 5" xfId="177" xr:uid="{00000000-0005-0000-0000-0000890C0000}"/>
    <cellStyle name="40% - Accent4 2 5 2" xfId="398" xr:uid="{00000000-0005-0000-0000-00008A0C0000}"/>
    <cellStyle name="40% - Accent4 2 5 2 2" xfId="824" xr:uid="{00000000-0005-0000-0000-00008B0C0000}"/>
    <cellStyle name="40% - Accent4 2 5 2 2 2" xfId="2116" xr:uid="{00000000-0005-0000-0000-00008C0C0000}"/>
    <cellStyle name="40% - Accent4 2 5 2 2 3" xfId="3394" xr:uid="{00000000-0005-0000-0000-00008D0C0000}"/>
    <cellStyle name="40% - Accent4 2 5 2 2 4" xfId="4681" xr:uid="{00000000-0005-0000-0000-00008E0C0000}"/>
    <cellStyle name="40% - Accent4 2 5 2 3" xfId="1250" xr:uid="{00000000-0005-0000-0000-00008F0C0000}"/>
    <cellStyle name="40% - Accent4 2 5 2 3 2" xfId="2542" xr:uid="{00000000-0005-0000-0000-0000900C0000}"/>
    <cellStyle name="40% - Accent4 2 5 2 3 3" xfId="3820" xr:uid="{00000000-0005-0000-0000-0000910C0000}"/>
    <cellStyle name="40% - Accent4 2 5 2 3 4" xfId="5107" xr:uid="{00000000-0005-0000-0000-0000920C0000}"/>
    <cellStyle name="40% - Accent4 2 5 2 4" xfId="1690" xr:uid="{00000000-0005-0000-0000-0000930C0000}"/>
    <cellStyle name="40% - Accent4 2 5 2 5" xfId="2968" xr:uid="{00000000-0005-0000-0000-0000940C0000}"/>
    <cellStyle name="40% - Accent4 2 5 2 6" xfId="4255" xr:uid="{00000000-0005-0000-0000-0000950C0000}"/>
    <cellStyle name="40% - Accent4 2 5 3" xfId="611" xr:uid="{00000000-0005-0000-0000-0000960C0000}"/>
    <cellStyle name="40% - Accent4 2 5 3 2" xfId="1903" xr:uid="{00000000-0005-0000-0000-0000970C0000}"/>
    <cellStyle name="40% - Accent4 2 5 3 3" xfId="3181" xr:uid="{00000000-0005-0000-0000-0000980C0000}"/>
    <cellStyle name="40% - Accent4 2 5 3 4" xfId="4468" xr:uid="{00000000-0005-0000-0000-0000990C0000}"/>
    <cellStyle name="40% - Accent4 2 5 4" xfId="1037" xr:uid="{00000000-0005-0000-0000-00009A0C0000}"/>
    <cellStyle name="40% - Accent4 2 5 4 2" xfId="2329" xr:uid="{00000000-0005-0000-0000-00009B0C0000}"/>
    <cellStyle name="40% - Accent4 2 5 4 3" xfId="3607" xr:uid="{00000000-0005-0000-0000-00009C0C0000}"/>
    <cellStyle name="40% - Accent4 2 5 4 4" xfId="4894" xr:uid="{00000000-0005-0000-0000-00009D0C0000}"/>
    <cellStyle name="40% - Accent4 2 5 5" xfId="1477" xr:uid="{00000000-0005-0000-0000-00009E0C0000}"/>
    <cellStyle name="40% - Accent4 2 5 6" xfId="2755" xr:uid="{00000000-0005-0000-0000-00009F0C0000}"/>
    <cellStyle name="40% - Accent4 2 5 7" xfId="4042" xr:uid="{00000000-0005-0000-0000-0000A00C0000}"/>
    <cellStyle name="40% - Accent4 2 6" xfId="276" xr:uid="{00000000-0005-0000-0000-0000A10C0000}"/>
    <cellStyle name="40% - Accent4 2 6 2" xfId="489" xr:uid="{00000000-0005-0000-0000-0000A20C0000}"/>
    <cellStyle name="40% - Accent4 2 6 2 2" xfId="914" xr:uid="{00000000-0005-0000-0000-0000A30C0000}"/>
    <cellStyle name="40% - Accent4 2 6 2 2 2" xfId="2206" xr:uid="{00000000-0005-0000-0000-0000A40C0000}"/>
    <cellStyle name="40% - Accent4 2 6 2 2 3" xfId="3484" xr:uid="{00000000-0005-0000-0000-0000A50C0000}"/>
    <cellStyle name="40% - Accent4 2 6 2 2 4" xfId="4771" xr:uid="{00000000-0005-0000-0000-0000A60C0000}"/>
    <cellStyle name="40% - Accent4 2 6 2 3" xfId="1340" xr:uid="{00000000-0005-0000-0000-0000A70C0000}"/>
    <cellStyle name="40% - Accent4 2 6 2 3 2" xfId="2632" xr:uid="{00000000-0005-0000-0000-0000A80C0000}"/>
    <cellStyle name="40% - Accent4 2 6 2 3 3" xfId="3910" xr:uid="{00000000-0005-0000-0000-0000A90C0000}"/>
    <cellStyle name="40% - Accent4 2 6 2 3 4" xfId="5197" xr:uid="{00000000-0005-0000-0000-0000AA0C0000}"/>
    <cellStyle name="40% - Accent4 2 6 2 4" xfId="1780" xr:uid="{00000000-0005-0000-0000-0000AB0C0000}"/>
    <cellStyle name="40% - Accent4 2 6 2 5" xfId="3058" xr:uid="{00000000-0005-0000-0000-0000AC0C0000}"/>
    <cellStyle name="40% - Accent4 2 6 2 6" xfId="4345" xr:uid="{00000000-0005-0000-0000-0000AD0C0000}"/>
    <cellStyle name="40% - Accent4 2 6 3" xfId="701" xr:uid="{00000000-0005-0000-0000-0000AE0C0000}"/>
    <cellStyle name="40% - Accent4 2 6 3 2" xfId="1993" xr:uid="{00000000-0005-0000-0000-0000AF0C0000}"/>
    <cellStyle name="40% - Accent4 2 6 3 3" xfId="3271" xr:uid="{00000000-0005-0000-0000-0000B00C0000}"/>
    <cellStyle name="40% - Accent4 2 6 3 4" xfId="4558" xr:uid="{00000000-0005-0000-0000-0000B10C0000}"/>
    <cellStyle name="40% - Accent4 2 6 4" xfId="1127" xr:uid="{00000000-0005-0000-0000-0000B20C0000}"/>
    <cellStyle name="40% - Accent4 2 6 4 2" xfId="2419" xr:uid="{00000000-0005-0000-0000-0000B30C0000}"/>
    <cellStyle name="40% - Accent4 2 6 4 3" xfId="3697" xr:uid="{00000000-0005-0000-0000-0000B40C0000}"/>
    <cellStyle name="40% - Accent4 2 6 4 4" xfId="4984" xr:uid="{00000000-0005-0000-0000-0000B50C0000}"/>
    <cellStyle name="40% - Accent4 2 6 5" xfId="1567" xr:uid="{00000000-0005-0000-0000-0000B60C0000}"/>
    <cellStyle name="40% - Accent4 2 6 6" xfId="2845" xr:uid="{00000000-0005-0000-0000-0000B70C0000}"/>
    <cellStyle name="40% - Accent4 2 6 7" xfId="4132" xr:uid="{00000000-0005-0000-0000-0000B80C0000}"/>
    <cellStyle name="40% - Accent4 2 7" xfId="393" xr:uid="{00000000-0005-0000-0000-0000B90C0000}"/>
    <cellStyle name="40% - Accent4 2 7 2" xfId="819" xr:uid="{00000000-0005-0000-0000-0000BA0C0000}"/>
    <cellStyle name="40% - Accent4 2 7 2 2" xfId="2111" xr:uid="{00000000-0005-0000-0000-0000BB0C0000}"/>
    <cellStyle name="40% - Accent4 2 7 2 3" xfId="3389" xr:uid="{00000000-0005-0000-0000-0000BC0C0000}"/>
    <cellStyle name="40% - Accent4 2 7 2 4" xfId="4676" xr:uid="{00000000-0005-0000-0000-0000BD0C0000}"/>
    <cellStyle name="40% - Accent4 2 7 3" xfId="1245" xr:uid="{00000000-0005-0000-0000-0000BE0C0000}"/>
    <cellStyle name="40% - Accent4 2 7 3 2" xfId="2537" xr:uid="{00000000-0005-0000-0000-0000BF0C0000}"/>
    <cellStyle name="40% - Accent4 2 7 3 3" xfId="3815" xr:uid="{00000000-0005-0000-0000-0000C00C0000}"/>
    <cellStyle name="40% - Accent4 2 7 3 4" xfId="5102" xr:uid="{00000000-0005-0000-0000-0000C10C0000}"/>
    <cellStyle name="40% - Accent4 2 7 4" xfId="1685" xr:uid="{00000000-0005-0000-0000-0000C20C0000}"/>
    <cellStyle name="40% - Accent4 2 7 5" xfId="2963" xr:uid="{00000000-0005-0000-0000-0000C30C0000}"/>
    <cellStyle name="40% - Accent4 2 7 6" xfId="4250" xr:uid="{00000000-0005-0000-0000-0000C40C0000}"/>
    <cellStyle name="40% - Accent4 2 8" xfId="606" xr:uid="{00000000-0005-0000-0000-0000C50C0000}"/>
    <cellStyle name="40% - Accent4 2 8 2" xfId="1898" xr:uid="{00000000-0005-0000-0000-0000C60C0000}"/>
    <cellStyle name="40% - Accent4 2 8 3" xfId="3176" xr:uid="{00000000-0005-0000-0000-0000C70C0000}"/>
    <cellStyle name="40% - Accent4 2 8 4" xfId="4463" xr:uid="{00000000-0005-0000-0000-0000C80C0000}"/>
    <cellStyle name="40% - Accent4 2 9" xfId="1032" xr:uid="{00000000-0005-0000-0000-0000C90C0000}"/>
    <cellStyle name="40% - Accent4 2 9 2" xfId="2324" xr:uid="{00000000-0005-0000-0000-0000CA0C0000}"/>
    <cellStyle name="40% - Accent4 2 9 3" xfId="3602" xr:uid="{00000000-0005-0000-0000-0000CB0C0000}"/>
    <cellStyle name="40% - Accent4 2 9 4" xfId="4889" xr:uid="{00000000-0005-0000-0000-0000CC0C0000}"/>
    <cellStyle name="40% - Accent4 3" xfId="178" xr:uid="{00000000-0005-0000-0000-0000CD0C0000}"/>
    <cellStyle name="40% - Accent4 3 2" xfId="179" xr:uid="{00000000-0005-0000-0000-0000CE0C0000}"/>
    <cellStyle name="40% - Accent4 3 2 2" xfId="400" xr:uid="{00000000-0005-0000-0000-0000CF0C0000}"/>
    <cellStyle name="40% - Accent4 3 2 2 2" xfId="826" xr:uid="{00000000-0005-0000-0000-0000D00C0000}"/>
    <cellStyle name="40% - Accent4 3 2 2 2 2" xfId="2118" xr:uid="{00000000-0005-0000-0000-0000D10C0000}"/>
    <cellStyle name="40% - Accent4 3 2 2 2 3" xfId="3396" xr:uid="{00000000-0005-0000-0000-0000D20C0000}"/>
    <cellStyle name="40% - Accent4 3 2 2 2 4" xfId="4683" xr:uid="{00000000-0005-0000-0000-0000D30C0000}"/>
    <cellStyle name="40% - Accent4 3 2 2 3" xfId="1252" xr:uid="{00000000-0005-0000-0000-0000D40C0000}"/>
    <cellStyle name="40% - Accent4 3 2 2 3 2" xfId="2544" xr:uid="{00000000-0005-0000-0000-0000D50C0000}"/>
    <cellStyle name="40% - Accent4 3 2 2 3 3" xfId="3822" xr:uid="{00000000-0005-0000-0000-0000D60C0000}"/>
    <cellStyle name="40% - Accent4 3 2 2 3 4" xfId="5109" xr:uid="{00000000-0005-0000-0000-0000D70C0000}"/>
    <cellStyle name="40% - Accent4 3 2 2 4" xfId="1692" xr:uid="{00000000-0005-0000-0000-0000D80C0000}"/>
    <cellStyle name="40% - Accent4 3 2 2 5" xfId="2970" xr:uid="{00000000-0005-0000-0000-0000D90C0000}"/>
    <cellStyle name="40% - Accent4 3 2 2 6" xfId="4257" xr:uid="{00000000-0005-0000-0000-0000DA0C0000}"/>
    <cellStyle name="40% - Accent4 3 2 3" xfId="613" xr:uid="{00000000-0005-0000-0000-0000DB0C0000}"/>
    <cellStyle name="40% - Accent4 3 2 3 2" xfId="1905" xr:uid="{00000000-0005-0000-0000-0000DC0C0000}"/>
    <cellStyle name="40% - Accent4 3 2 3 3" xfId="3183" xr:uid="{00000000-0005-0000-0000-0000DD0C0000}"/>
    <cellStyle name="40% - Accent4 3 2 3 4" xfId="4470" xr:uid="{00000000-0005-0000-0000-0000DE0C0000}"/>
    <cellStyle name="40% - Accent4 3 2 4" xfId="1039" xr:uid="{00000000-0005-0000-0000-0000DF0C0000}"/>
    <cellStyle name="40% - Accent4 3 2 4 2" xfId="2331" xr:uid="{00000000-0005-0000-0000-0000E00C0000}"/>
    <cellStyle name="40% - Accent4 3 2 4 3" xfId="3609" xr:uid="{00000000-0005-0000-0000-0000E10C0000}"/>
    <cellStyle name="40% - Accent4 3 2 4 4" xfId="4896" xr:uid="{00000000-0005-0000-0000-0000E20C0000}"/>
    <cellStyle name="40% - Accent4 3 2 5" xfId="1479" xr:uid="{00000000-0005-0000-0000-0000E30C0000}"/>
    <cellStyle name="40% - Accent4 3 2 6" xfId="2757" xr:uid="{00000000-0005-0000-0000-0000E40C0000}"/>
    <cellStyle name="40% - Accent4 3 2 7" xfId="4044" xr:uid="{00000000-0005-0000-0000-0000E50C0000}"/>
    <cellStyle name="40% - Accent4 3 2 8" xfId="5284" xr:uid="{00000000-0005-0000-0000-0000E60C0000}"/>
    <cellStyle name="40% - Accent4 3 3" xfId="399" xr:uid="{00000000-0005-0000-0000-0000E70C0000}"/>
    <cellStyle name="40% - Accent4 3 3 2" xfId="825" xr:uid="{00000000-0005-0000-0000-0000E80C0000}"/>
    <cellStyle name="40% - Accent4 3 3 2 2" xfId="2117" xr:uid="{00000000-0005-0000-0000-0000E90C0000}"/>
    <cellStyle name="40% - Accent4 3 3 2 3" xfId="3395" xr:uid="{00000000-0005-0000-0000-0000EA0C0000}"/>
    <cellStyle name="40% - Accent4 3 3 2 4" xfId="4682" xr:uid="{00000000-0005-0000-0000-0000EB0C0000}"/>
    <cellStyle name="40% - Accent4 3 3 3" xfId="1251" xr:uid="{00000000-0005-0000-0000-0000EC0C0000}"/>
    <cellStyle name="40% - Accent4 3 3 3 2" xfId="2543" xr:uid="{00000000-0005-0000-0000-0000ED0C0000}"/>
    <cellStyle name="40% - Accent4 3 3 3 3" xfId="3821" xr:uid="{00000000-0005-0000-0000-0000EE0C0000}"/>
    <cellStyle name="40% - Accent4 3 3 3 4" xfId="5108" xr:uid="{00000000-0005-0000-0000-0000EF0C0000}"/>
    <cellStyle name="40% - Accent4 3 3 4" xfId="1691" xr:uid="{00000000-0005-0000-0000-0000F00C0000}"/>
    <cellStyle name="40% - Accent4 3 3 5" xfId="2969" xr:uid="{00000000-0005-0000-0000-0000F10C0000}"/>
    <cellStyle name="40% - Accent4 3 3 6" xfId="4256" xr:uid="{00000000-0005-0000-0000-0000F20C0000}"/>
    <cellStyle name="40% - Accent4 3 4" xfId="612" xr:uid="{00000000-0005-0000-0000-0000F30C0000}"/>
    <cellStyle name="40% - Accent4 3 4 2" xfId="1904" xr:uid="{00000000-0005-0000-0000-0000F40C0000}"/>
    <cellStyle name="40% - Accent4 3 4 3" xfId="3182" xr:uid="{00000000-0005-0000-0000-0000F50C0000}"/>
    <cellStyle name="40% - Accent4 3 4 4" xfId="4469" xr:uid="{00000000-0005-0000-0000-0000F60C0000}"/>
    <cellStyle name="40% - Accent4 3 5" xfId="1038" xr:uid="{00000000-0005-0000-0000-0000F70C0000}"/>
    <cellStyle name="40% - Accent4 3 5 2" xfId="2330" xr:uid="{00000000-0005-0000-0000-0000F80C0000}"/>
    <cellStyle name="40% - Accent4 3 5 3" xfId="3608" xr:uid="{00000000-0005-0000-0000-0000F90C0000}"/>
    <cellStyle name="40% - Accent4 3 5 4" xfId="4895" xr:uid="{00000000-0005-0000-0000-0000FA0C0000}"/>
    <cellStyle name="40% - Accent4 3 6" xfId="1478" xr:uid="{00000000-0005-0000-0000-0000FB0C0000}"/>
    <cellStyle name="40% - Accent4 3 7" xfId="2756" xr:uid="{00000000-0005-0000-0000-0000FC0C0000}"/>
    <cellStyle name="40% - Accent4 3 8" xfId="4043" xr:uid="{00000000-0005-0000-0000-0000FD0C0000}"/>
    <cellStyle name="40% - Accent4 3 9" xfId="5283" xr:uid="{00000000-0005-0000-0000-0000FE0C0000}"/>
    <cellStyle name="40% - Accent4 4" xfId="180" xr:uid="{00000000-0005-0000-0000-0000FF0C0000}"/>
    <cellStyle name="40% - Accent4 4 2" xfId="401" xr:uid="{00000000-0005-0000-0000-0000000D0000}"/>
    <cellStyle name="40% - Accent4 4 2 2" xfId="827" xr:uid="{00000000-0005-0000-0000-0000010D0000}"/>
    <cellStyle name="40% - Accent4 4 2 2 2" xfId="2119" xr:uid="{00000000-0005-0000-0000-0000020D0000}"/>
    <cellStyle name="40% - Accent4 4 2 2 3" xfId="3397" xr:uid="{00000000-0005-0000-0000-0000030D0000}"/>
    <cellStyle name="40% - Accent4 4 2 2 4" xfId="4684" xr:uid="{00000000-0005-0000-0000-0000040D0000}"/>
    <cellStyle name="40% - Accent4 4 2 3" xfId="1253" xr:uid="{00000000-0005-0000-0000-0000050D0000}"/>
    <cellStyle name="40% - Accent4 4 2 3 2" xfId="2545" xr:uid="{00000000-0005-0000-0000-0000060D0000}"/>
    <cellStyle name="40% - Accent4 4 2 3 3" xfId="3823" xr:uid="{00000000-0005-0000-0000-0000070D0000}"/>
    <cellStyle name="40% - Accent4 4 2 3 4" xfId="5110" xr:uid="{00000000-0005-0000-0000-0000080D0000}"/>
    <cellStyle name="40% - Accent4 4 2 4" xfId="1693" xr:uid="{00000000-0005-0000-0000-0000090D0000}"/>
    <cellStyle name="40% - Accent4 4 2 5" xfId="2971" xr:uid="{00000000-0005-0000-0000-00000A0D0000}"/>
    <cellStyle name="40% - Accent4 4 2 6" xfId="4258" xr:uid="{00000000-0005-0000-0000-00000B0D0000}"/>
    <cellStyle name="40% - Accent4 4 3" xfId="614" xr:uid="{00000000-0005-0000-0000-00000C0D0000}"/>
    <cellStyle name="40% - Accent4 4 3 2" xfId="1906" xr:uid="{00000000-0005-0000-0000-00000D0D0000}"/>
    <cellStyle name="40% - Accent4 4 3 3" xfId="3184" xr:uid="{00000000-0005-0000-0000-00000E0D0000}"/>
    <cellStyle name="40% - Accent4 4 3 4" xfId="4471" xr:uid="{00000000-0005-0000-0000-00000F0D0000}"/>
    <cellStyle name="40% - Accent4 4 4" xfId="1040" xr:uid="{00000000-0005-0000-0000-0000100D0000}"/>
    <cellStyle name="40% - Accent4 4 4 2" xfId="2332" xr:uid="{00000000-0005-0000-0000-0000110D0000}"/>
    <cellStyle name="40% - Accent4 4 4 3" xfId="3610" xr:uid="{00000000-0005-0000-0000-0000120D0000}"/>
    <cellStyle name="40% - Accent4 4 4 4" xfId="4897" xr:uid="{00000000-0005-0000-0000-0000130D0000}"/>
    <cellStyle name="40% - Accent4 4 5" xfId="1480" xr:uid="{00000000-0005-0000-0000-0000140D0000}"/>
    <cellStyle name="40% - Accent4 4 6" xfId="2758" xr:uid="{00000000-0005-0000-0000-0000150D0000}"/>
    <cellStyle name="40% - Accent4 4 7" xfId="4045" xr:uid="{00000000-0005-0000-0000-0000160D0000}"/>
    <cellStyle name="40% - Accent4 4 8" xfId="5285" xr:uid="{00000000-0005-0000-0000-0000170D0000}"/>
    <cellStyle name="40% - Accent4 5" xfId="181" xr:uid="{00000000-0005-0000-0000-0000180D0000}"/>
    <cellStyle name="40% - Accent4 5 2" xfId="402" xr:uid="{00000000-0005-0000-0000-0000190D0000}"/>
    <cellStyle name="40% - Accent4 5 2 2" xfId="828" xr:uid="{00000000-0005-0000-0000-00001A0D0000}"/>
    <cellStyle name="40% - Accent4 5 2 2 2" xfId="2120" xr:uid="{00000000-0005-0000-0000-00001B0D0000}"/>
    <cellStyle name="40% - Accent4 5 2 2 3" xfId="3398" xr:uid="{00000000-0005-0000-0000-00001C0D0000}"/>
    <cellStyle name="40% - Accent4 5 2 2 4" xfId="4685" xr:uid="{00000000-0005-0000-0000-00001D0D0000}"/>
    <cellStyle name="40% - Accent4 5 2 3" xfId="1254" xr:uid="{00000000-0005-0000-0000-00001E0D0000}"/>
    <cellStyle name="40% - Accent4 5 2 3 2" xfId="2546" xr:uid="{00000000-0005-0000-0000-00001F0D0000}"/>
    <cellStyle name="40% - Accent4 5 2 3 3" xfId="3824" xr:uid="{00000000-0005-0000-0000-0000200D0000}"/>
    <cellStyle name="40% - Accent4 5 2 3 4" xfId="5111" xr:uid="{00000000-0005-0000-0000-0000210D0000}"/>
    <cellStyle name="40% - Accent4 5 2 4" xfId="1694" xr:uid="{00000000-0005-0000-0000-0000220D0000}"/>
    <cellStyle name="40% - Accent4 5 2 5" xfId="2972" xr:uid="{00000000-0005-0000-0000-0000230D0000}"/>
    <cellStyle name="40% - Accent4 5 2 6" xfId="4259" xr:uid="{00000000-0005-0000-0000-0000240D0000}"/>
    <cellStyle name="40% - Accent4 5 3" xfId="615" xr:uid="{00000000-0005-0000-0000-0000250D0000}"/>
    <cellStyle name="40% - Accent4 5 3 2" xfId="1907" xr:uid="{00000000-0005-0000-0000-0000260D0000}"/>
    <cellStyle name="40% - Accent4 5 3 3" xfId="3185" xr:uid="{00000000-0005-0000-0000-0000270D0000}"/>
    <cellStyle name="40% - Accent4 5 3 4" xfId="4472" xr:uid="{00000000-0005-0000-0000-0000280D0000}"/>
    <cellStyle name="40% - Accent4 5 4" xfId="1041" xr:uid="{00000000-0005-0000-0000-0000290D0000}"/>
    <cellStyle name="40% - Accent4 5 4 2" xfId="2333" xr:uid="{00000000-0005-0000-0000-00002A0D0000}"/>
    <cellStyle name="40% - Accent4 5 4 3" xfId="3611" xr:uid="{00000000-0005-0000-0000-00002B0D0000}"/>
    <cellStyle name="40% - Accent4 5 4 4" xfId="4898" xr:uid="{00000000-0005-0000-0000-00002C0D0000}"/>
    <cellStyle name="40% - Accent4 5 5" xfId="1481" xr:uid="{00000000-0005-0000-0000-00002D0D0000}"/>
    <cellStyle name="40% - Accent4 5 6" xfId="2759" xr:uid="{00000000-0005-0000-0000-00002E0D0000}"/>
    <cellStyle name="40% - Accent4 5 7" xfId="4046" xr:uid="{00000000-0005-0000-0000-00002F0D0000}"/>
    <cellStyle name="40% - Accent4 6" xfId="182" xr:uid="{00000000-0005-0000-0000-0000300D0000}"/>
    <cellStyle name="40% - Accent4 6 2" xfId="403" xr:uid="{00000000-0005-0000-0000-0000310D0000}"/>
    <cellStyle name="40% - Accent4 6 2 2" xfId="829" xr:uid="{00000000-0005-0000-0000-0000320D0000}"/>
    <cellStyle name="40% - Accent4 6 2 2 2" xfId="2121" xr:uid="{00000000-0005-0000-0000-0000330D0000}"/>
    <cellStyle name="40% - Accent4 6 2 2 3" xfId="3399" xr:uid="{00000000-0005-0000-0000-0000340D0000}"/>
    <cellStyle name="40% - Accent4 6 2 2 4" xfId="4686" xr:uid="{00000000-0005-0000-0000-0000350D0000}"/>
    <cellStyle name="40% - Accent4 6 2 3" xfId="1255" xr:uid="{00000000-0005-0000-0000-0000360D0000}"/>
    <cellStyle name="40% - Accent4 6 2 3 2" xfId="2547" xr:uid="{00000000-0005-0000-0000-0000370D0000}"/>
    <cellStyle name="40% - Accent4 6 2 3 3" xfId="3825" xr:uid="{00000000-0005-0000-0000-0000380D0000}"/>
    <cellStyle name="40% - Accent4 6 2 3 4" xfId="5112" xr:uid="{00000000-0005-0000-0000-0000390D0000}"/>
    <cellStyle name="40% - Accent4 6 2 4" xfId="1695" xr:uid="{00000000-0005-0000-0000-00003A0D0000}"/>
    <cellStyle name="40% - Accent4 6 2 5" xfId="2973" xr:uid="{00000000-0005-0000-0000-00003B0D0000}"/>
    <cellStyle name="40% - Accent4 6 2 6" xfId="4260" xr:uid="{00000000-0005-0000-0000-00003C0D0000}"/>
    <cellStyle name="40% - Accent4 6 3" xfId="616" xr:uid="{00000000-0005-0000-0000-00003D0D0000}"/>
    <cellStyle name="40% - Accent4 6 3 2" xfId="1908" xr:uid="{00000000-0005-0000-0000-00003E0D0000}"/>
    <cellStyle name="40% - Accent4 6 3 3" xfId="3186" xr:uid="{00000000-0005-0000-0000-00003F0D0000}"/>
    <cellStyle name="40% - Accent4 6 3 4" xfId="4473" xr:uid="{00000000-0005-0000-0000-0000400D0000}"/>
    <cellStyle name="40% - Accent4 6 4" xfId="1042" xr:uid="{00000000-0005-0000-0000-0000410D0000}"/>
    <cellStyle name="40% - Accent4 6 4 2" xfId="2334" xr:uid="{00000000-0005-0000-0000-0000420D0000}"/>
    <cellStyle name="40% - Accent4 6 4 3" xfId="3612" xr:uid="{00000000-0005-0000-0000-0000430D0000}"/>
    <cellStyle name="40% - Accent4 6 4 4" xfId="4899" xr:uid="{00000000-0005-0000-0000-0000440D0000}"/>
    <cellStyle name="40% - Accent4 6 5" xfId="1482" xr:uid="{00000000-0005-0000-0000-0000450D0000}"/>
    <cellStyle name="40% - Accent4 6 6" xfId="2760" xr:uid="{00000000-0005-0000-0000-0000460D0000}"/>
    <cellStyle name="40% - Accent4 6 7" xfId="4047" xr:uid="{00000000-0005-0000-0000-0000470D0000}"/>
    <cellStyle name="40% - Accent4 7" xfId="263" xr:uid="{00000000-0005-0000-0000-0000480D0000}"/>
    <cellStyle name="40% - Accent4 7 2" xfId="476" xr:uid="{00000000-0005-0000-0000-0000490D0000}"/>
    <cellStyle name="40% - Accent4 7 2 2" xfId="901" xr:uid="{00000000-0005-0000-0000-00004A0D0000}"/>
    <cellStyle name="40% - Accent4 7 2 2 2" xfId="2193" xr:uid="{00000000-0005-0000-0000-00004B0D0000}"/>
    <cellStyle name="40% - Accent4 7 2 2 3" xfId="3471" xr:uid="{00000000-0005-0000-0000-00004C0D0000}"/>
    <cellStyle name="40% - Accent4 7 2 2 4" xfId="4758" xr:uid="{00000000-0005-0000-0000-00004D0D0000}"/>
    <cellStyle name="40% - Accent4 7 2 3" xfId="1327" xr:uid="{00000000-0005-0000-0000-00004E0D0000}"/>
    <cellStyle name="40% - Accent4 7 2 3 2" xfId="2619" xr:uid="{00000000-0005-0000-0000-00004F0D0000}"/>
    <cellStyle name="40% - Accent4 7 2 3 3" xfId="3897" xr:uid="{00000000-0005-0000-0000-0000500D0000}"/>
    <cellStyle name="40% - Accent4 7 2 3 4" xfId="5184" xr:uid="{00000000-0005-0000-0000-0000510D0000}"/>
    <cellStyle name="40% - Accent4 7 2 4" xfId="1767" xr:uid="{00000000-0005-0000-0000-0000520D0000}"/>
    <cellStyle name="40% - Accent4 7 2 5" xfId="3045" xr:uid="{00000000-0005-0000-0000-0000530D0000}"/>
    <cellStyle name="40% - Accent4 7 2 6" xfId="4332" xr:uid="{00000000-0005-0000-0000-0000540D0000}"/>
    <cellStyle name="40% - Accent4 7 3" xfId="688" xr:uid="{00000000-0005-0000-0000-0000550D0000}"/>
    <cellStyle name="40% - Accent4 7 3 2" xfId="1980" xr:uid="{00000000-0005-0000-0000-0000560D0000}"/>
    <cellStyle name="40% - Accent4 7 3 3" xfId="3258" xr:uid="{00000000-0005-0000-0000-0000570D0000}"/>
    <cellStyle name="40% - Accent4 7 3 4" xfId="4545" xr:uid="{00000000-0005-0000-0000-0000580D0000}"/>
    <cellStyle name="40% - Accent4 7 4" xfId="1114" xr:uid="{00000000-0005-0000-0000-0000590D0000}"/>
    <cellStyle name="40% - Accent4 7 4 2" xfId="2406" xr:uid="{00000000-0005-0000-0000-00005A0D0000}"/>
    <cellStyle name="40% - Accent4 7 4 3" xfId="3684" xr:uid="{00000000-0005-0000-0000-00005B0D0000}"/>
    <cellStyle name="40% - Accent4 7 4 4" xfId="4971" xr:uid="{00000000-0005-0000-0000-00005C0D0000}"/>
    <cellStyle name="40% - Accent4 7 5" xfId="1554" xr:uid="{00000000-0005-0000-0000-00005D0D0000}"/>
    <cellStyle name="40% - Accent4 7 6" xfId="2832" xr:uid="{00000000-0005-0000-0000-00005E0D0000}"/>
    <cellStyle name="40% - Accent4 7 7" xfId="4119" xr:uid="{00000000-0005-0000-0000-00005F0D0000}"/>
    <cellStyle name="40% - Accent4 8" xfId="392" xr:uid="{00000000-0005-0000-0000-0000600D0000}"/>
    <cellStyle name="40% - Accent4 8 2" xfId="818" xr:uid="{00000000-0005-0000-0000-0000610D0000}"/>
    <cellStyle name="40% - Accent4 8 2 2" xfId="2110" xr:uid="{00000000-0005-0000-0000-0000620D0000}"/>
    <cellStyle name="40% - Accent4 8 2 3" xfId="3388" xr:uid="{00000000-0005-0000-0000-0000630D0000}"/>
    <cellStyle name="40% - Accent4 8 2 4" xfId="4675" xr:uid="{00000000-0005-0000-0000-0000640D0000}"/>
    <cellStyle name="40% - Accent4 8 3" xfId="1244" xr:uid="{00000000-0005-0000-0000-0000650D0000}"/>
    <cellStyle name="40% - Accent4 8 3 2" xfId="2536" xr:uid="{00000000-0005-0000-0000-0000660D0000}"/>
    <cellStyle name="40% - Accent4 8 3 3" xfId="3814" xr:uid="{00000000-0005-0000-0000-0000670D0000}"/>
    <cellStyle name="40% - Accent4 8 3 4" xfId="5101" xr:uid="{00000000-0005-0000-0000-0000680D0000}"/>
    <cellStyle name="40% - Accent4 8 4" xfId="1684" xr:uid="{00000000-0005-0000-0000-0000690D0000}"/>
    <cellStyle name="40% - Accent4 8 5" xfId="2962" xr:uid="{00000000-0005-0000-0000-00006A0D0000}"/>
    <cellStyle name="40% - Accent4 8 6" xfId="4249" xr:uid="{00000000-0005-0000-0000-00006B0D0000}"/>
    <cellStyle name="40% - Accent4 9" xfId="605" xr:uid="{00000000-0005-0000-0000-00006C0D0000}"/>
    <cellStyle name="40% - Accent4 9 2" xfId="1897" xr:uid="{00000000-0005-0000-0000-00006D0D0000}"/>
    <cellStyle name="40% - Accent4 9 3" xfId="3175" xr:uid="{00000000-0005-0000-0000-00006E0D0000}"/>
    <cellStyle name="40% - Accent4 9 4" xfId="4462" xr:uid="{00000000-0005-0000-0000-00006F0D0000}"/>
    <cellStyle name="40% - Accent5" xfId="74" builtinId="47" customBuiltin="1"/>
    <cellStyle name="40% - Accent5 10" xfId="1043" xr:uid="{00000000-0005-0000-0000-0000710D0000}"/>
    <cellStyle name="40% - Accent5 10 2" xfId="2335" xr:uid="{00000000-0005-0000-0000-0000720D0000}"/>
    <cellStyle name="40% - Accent5 10 3" xfId="3613" xr:uid="{00000000-0005-0000-0000-0000730D0000}"/>
    <cellStyle name="40% - Accent5 10 4" xfId="4900" xr:uid="{00000000-0005-0000-0000-0000740D0000}"/>
    <cellStyle name="40% - Accent5 11" xfId="1483" xr:uid="{00000000-0005-0000-0000-0000750D0000}"/>
    <cellStyle name="40% - Accent5 12" xfId="2761" xr:uid="{00000000-0005-0000-0000-0000760D0000}"/>
    <cellStyle name="40% - Accent5 13" xfId="4048" xr:uid="{00000000-0005-0000-0000-0000770D0000}"/>
    <cellStyle name="40% - Accent5 14" xfId="5286" xr:uid="{00000000-0005-0000-0000-0000780D0000}"/>
    <cellStyle name="40% - Accent5 2" xfId="20" xr:uid="{00000000-0005-0000-0000-0000790D0000}"/>
    <cellStyle name="40% - Accent5 2 10" xfId="1484" xr:uid="{00000000-0005-0000-0000-00007A0D0000}"/>
    <cellStyle name="40% - Accent5 2 11" xfId="2762" xr:uid="{00000000-0005-0000-0000-00007B0D0000}"/>
    <cellStyle name="40% - Accent5 2 12" xfId="4049" xr:uid="{00000000-0005-0000-0000-00007C0D0000}"/>
    <cellStyle name="40% - Accent5 2 13" xfId="5287" xr:uid="{00000000-0005-0000-0000-00007D0D0000}"/>
    <cellStyle name="40% - Accent5 2 2" xfId="183" xr:uid="{00000000-0005-0000-0000-00007E0D0000}"/>
    <cellStyle name="40% - Accent5 2 2 2" xfId="184" xr:uid="{00000000-0005-0000-0000-00007F0D0000}"/>
    <cellStyle name="40% - Accent5 2 2 2 2" xfId="407" xr:uid="{00000000-0005-0000-0000-0000800D0000}"/>
    <cellStyle name="40% - Accent5 2 2 2 2 2" xfId="833" xr:uid="{00000000-0005-0000-0000-0000810D0000}"/>
    <cellStyle name="40% - Accent5 2 2 2 2 2 2" xfId="2125" xr:uid="{00000000-0005-0000-0000-0000820D0000}"/>
    <cellStyle name="40% - Accent5 2 2 2 2 2 3" xfId="3403" xr:uid="{00000000-0005-0000-0000-0000830D0000}"/>
    <cellStyle name="40% - Accent5 2 2 2 2 2 4" xfId="4690" xr:uid="{00000000-0005-0000-0000-0000840D0000}"/>
    <cellStyle name="40% - Accent5 2 2 2 2 3" xfId="1259" xr:uid="{00000000-0005-0000-0000-0000850D0000}"/>
    <cellStyle name="40% - Accent5 2 2 2 2 3 2" xfId="2551" xr:uid="{00000000-0005-0000-0000-0000860D0000}"/>
    <cellStyle name="40% - Accent5 2 2 2 2 3 3" xfId="3829" xr:uid="{00000000-0005-0000-0000-0000870D0000}"/>
    <cellStyle name="40% - Accent5 2 2 2 2 3 4" xfId="5116" xr:uid="{00000000-0005-0000-0000-0000880D0000}"/>
    <cellStyle name="40% - Accent5 2 2 2 2 4" xfId="1699" xr:uid="{00000000-0005-0000-0000-0000890D0000}"/>
    <cellStyle name="40% - Accent5 2 2 2 2 5" xfId="2977" xr:uid="{00000000-0005-0000-0000-00008A0D0000}"/>
    <cellStyle name="40% - Accent5 2 2 2 2 6" xfId="4264" xr:uid="{00000000-0005-0000-0000-00008B0D0000}"/>
    <cellStyle name="40% - Accent5 2 2 2 3" xfId="620" xr:uid="{00000000-0005-0000-0000-00008C0D0000}"/>
    <cellStyle name="40% - Accent5 2 2 2 3 2" xfId="1912" xr:uid="{00000000-0005-0000-0000-00008D0D0000}"/>
    <cellStyle name="40% - Accent5 2 2 2 3 3" xfId="3190" xr:uid="{00000000-0005-0000-0000-00008E0D0000}"/>
    <cellStyle name="40% - Accent5 2 2 2 3 4" xfId="4477" xr:uid="{00000000-0005-0000-0000-00008F0D0000}"/>
    <cellStyle name="40% - Accent5 2 2 2 4" xfId="1046" xr:uid="{00000000-0005-0000-0000-0000900D0000}"/>
    <cellStyle name="40% - Accent5 2 2 2 4 2" xfId="2338" xr:uid="{00000000-0005-0000-0000-0000910D0000}"/>
    <cellStyle name="40% - Accent5 2 2 2 4 3" xfId="3616" xr:uid="{00000000-0005-0000-0000-0000920D0000}"/>
    <cellStyle name="40% - Accent5 2 2 2 4 4" xfId="4903" xr:uid="{00000000-0005-0000-0000-0000930D0000}"/>
    <cellStyle name="40% - Accent5 2 2 2 5" xfId="1486" xr:uid="{00000000-0005-0000-0000-0000940D0000}"/>
    <cellStyle name="40% - Accent5 2 2 2 6" xfId="2764" xr:uid="{00000000-0005-0000-0000-0000950D0000}"/>
    <cellStyle name="40% - Accent5 2 2 2 7" xfId="4051" xr:uid="{00000000-0005-0000-0000-0000960D0000}"/>
    <cellStyle name="40% - Accent5 2 2 2 8" xfId="5289" xr:uid="{00000000-0005-0000-0000-0000970D0000}"/>
    <cellStyle name="40% - Accent5 2 2 3" xfId="406" xr:uid="{00000000-0005-0000-0000-0000980D0000}"/>
    <cellStyle name="40% - Accent5 2 2 3 2" xfId="832" xr:uid="{00000000-0005-0000-0000-0000990D0000}"/>
    <cellStyle name="40% - Accent5 2 2 3 2 2" xfId="2124" xr:uid="{00000000-0005-0000-0000-00009A0D0000}"/>
    <cellStyle name="40% - Accent5 2 2 3 2 3" xfId="3402" xr:uid="{00000000-0005-0000-0000-00009B0D0000}"/>
    <cellStyle name="40% - Accent5 2 2 3 2 4" xfId="4689" xr:uid="{00000000-0005-0000-0000-00009C0D0000}"/>
    <cellStyle name="40% - Accent5 2 2 3 3" xfId="1258" xr:uid="{00000000-0005-0000-0000-00009D0D0000}"/>
    <cellStyle name="40% - Accent5 2 2 3 3 2" xfId="2550" xr:uid="{00000000-0005-0000-0000-00009E0D0000}"/>
    <cellStyle name="40% - Accent5 2 2 3 3 3" xfId="3828" xr:uid="{00000000-0005-0000-0000-00009F0D0000}"/>
    <cellStyle name="40% - Accent5 2 2 3 3 4" xfId="5115" xr:uid="{00000000-0005-0000-0000-0000A00D0000}"/>
    <cellStyle name="40% - Accent5 2 2 3 4" xfId="1698" xr:uid="{00000000-0005-0000-0000-0000A10D0000}"/>
    <cellStyle name="40% - Accent5 2 2 3 5" xfId="2976" xr:uid="{00000000-0005-0000-0000-0000A20D0000}"/>
    <cellStyle name="40% - Accent5 2 2 3 6" xfId="4263" xr:uid="{00000000-0005-0000-0000-0000A30D0000}"/>
    <cellStyle name="40% - Accent5 2 2 4" xfId="619" xr:uid="{00000000-0005-0000-0000-0000A40D0000}"/>
    <cellStyle name="40% - Accent5 2 2 4 2" xfId="1911" xr:uid="{00000000-0005-0000-0000-0000A50D0000}"/>
    <cellStyle name="40% - Accent5 2 2 4 3" xfId="3189" xr:uid="{00000000-0005-0000-0000-0000A60D0000}"/>
    <cellStyle name="40% - Accent5 2 2 4 4" xfId="4476" xr:uid="{00000000-0005-0000-0000-0000A70D0000}"/>
    <cellStyle name="40% - Accent5 2 2 5" xfId="1045" xr:uid="{00000000-0005-0000-0000-0000A80D0000}"/>
    <cellStyle name="40% - Accent5 2 2 5 2" xfId="2337" xr:uid="{00000000-0005-0000-0000-0000A90D0000}"/>
    <cellStyle name="40% - Accent5 2 2 5 3" xfId="3615" xr:uid="{00000000-0005-0000-0000-0000AA0D0000}"/>
    <cellStyle name="40% - Accent5 2 2 5 4" xfId="4902" xr:uid="{00000000-0005-0000-0000-0000AB0D0000}"/>
    <cellStyle name="40% - Accent5 2 2 6" xfId="1485" xr:uid="{00000000-0005-0000-0000-0000AC0D0000}"/>
    <cellStyle name="40% - Accent5 2 2 7" xfId="2763" xr:uid="{00000000-0005-0000-0000-0000AD0D0000}"/>
    <cellStyle name="40% - Accent5 2 2 8" xfId="4050" xr:uid="{00000000-0005-0000-0000-0000AE0D0000}"/>
    <cellStyle name="40% - Accent5 2 2 9" xfId="5288" xr:uid="{00000000-0005-0000-0000-0000AF0D0000}"/>
    <cellStyle name="40% - Accent5 2 3" xfId="185" xr:uid="{00000000-0005-0000-0000-0000B00D0000}"/>
    <cellStyle name="40% - Accent5 2 3 2" xfId="408" xr:uid="{00000000-0005-0000-0000-0000B10D0000}"/>
    <cellStyle name="40% - Accent5 2 3 2 2" xfId="834" xr:uid="{00000000-0005-0000-0000-0000B20D0000}"/>
    <cellStyle name="40% - Accent5 2 3 2 2 2" xfId="2126" xr:uid="{00000000-0005-0000-0000-0000B30D0000}"/>
    <cellStyle name="40% - Accent5 2 3 2 2 3" xfId="3404" xr:uid="{00000000-0005-0000-0000-0000B40D0000}"/>
    <cellStyle name="40% - Accent5 2 3 2 2 4" xfId="4691" xr:uid="{00000000-0005-0000-0000-0000B50D0000}"/>
    <cellStyle name="40% - Accent5 2 3 2 3" xfId="1260" xr:uid="{00000000-0005-0000-0000-0000B60D0000}"/>
    <cellStyle name="40% - Accent5 2 3 2 3 2" xfId="2552" xr:uid="{00000000-0005-0000-0000-0000B70D0000}"/>
    <cellStyle name="40% - Accent5 2 3 2 3 3" xfId="3830" xr:uid="{00000000-0005-0000-0000-0000B80D0000}"/>
    <cellStyle name="40% - Accent5 2 3 2 3 4" xfId="5117" xr:uid="{00000000-0005-0000-0000-0000B90D0000}"/>
    <cellStyle name="40% - Accent5 2 3 2 4" xfId="1700" xr:uid="{00000000-0005-0000-0000-0000BA0D0000}"/>
    <cellStyle name="40% - Accent5 2 3 2 5" xfId="2978" xr:uid="{00000000-0005-0000-0000-0000BB0D0000}"/>
    <cellStyle name="40% - Accent5 2 3 2 6" xfId="4265" xr:uid="{00000000-0005-0000-0000-0000BC0D0000}"/>
    <cellStyle name="40% - Accent5 2 3 3" xfId="621" xr:uid="{00000000-0005-0000-0000-0000BD0D0000}"/>
    <cellStyle name="40% - Accent5 2 3 3 2" xfId="1913" xr:uid="{00000000-0005-0000-0000-0000BE0D0000}"/>
    <cellStyle name="40% - Accent5 2 3 3 3" xfId="3191" xr:uid="{00000000-0005-0000-0000-0000BF0D0000}"/>
    <cellStyle name="40% - Accent5 2 3 3 4" xfId="4478" xr:uid="{00000000-0005-0000-0000-0000C00D0000}"/>
    <cellStyle name="40% - Accent5 2 3 4" xfId="1047" xr:uid="{00000000-0005-0000-0000-0000C10D0000}"/>
    <cellStyle name="40% - Accent5 2 3 4 2" xfId="2339" xr:uid="{00000000-0005-0000-0000-0000C20D0000}"/>
    <cellStyle name="40% - Accent5 2 3 4 3" xfId="3617" xr:uid="{00000000-0005-0000-0000-0000C30D0000}"/>
    <cellStyle name="40% - Accent5 2 3 4 4" xfId="4904" xr:uid="{00000000-0005-0000-0000-0000C40D0000}"/>
    <cellStyle name="40% - Accent5 2 3 5" xfId="1487" xr:uid="{00000000-0005-0000-0000-0000C50D0000}"/>
    <cellStyle name="40% - Accent5 2 3 6" xfId="2765" xr:uid="{00000000-0005-0000-0000-0000C60D0000}"/>
    <cellStyle name="40% - Accent5 2 3 7" xfId="4052" xr:uid="{00000000-0005-0000-0000-0000C70D0000}"/>
    <cellStyle name="40% - Accent5 2 3 8" xfId="5290" xr:uid="{00000000-0005-0000-0000-0000C80D0000}"/>
    <cellStyle name="40% - Accent5 2 4" xfId="186" xr:uid="{00000000-0005-0000-0000-0000C90D0000}"/>
    <cellStyle name="40% - Accent5 2 4 2" xfId="409" xr:uid="{00000000-0005-0000-0000-0000CA0D0000}"/>
    <cellStyle name="40% - Accent5 2 4 2 2" xfId="835" xr:uid="{00000000-0005-0000-0000-0000CB0D0000}"/>
    <cellStyle name="40% - Accent5 2 4 2 2 2" xfId="2127" xr:uid="{00000000-0005-0000-0000-0000CC0D0000}"/>
    <cellStyle name="40% - Accent5 2 4 2 2 3" xfId="3405" xr:uid="{00000000-0005-0000-0000-0000CD0D0000}"/>
    <cellStyle name="40% - Accent5 2 4 2 2 4" xfId="4692" xr:uid="{00000000-0005-0000-0000-0000CE0D0000}"/>
    <cellStyle name="40% - Accent5 2 4 2 3" xfId="1261" xr:uid="{00000000-0005-0000-0000-0000CF0D0000}"/>
    <cellStyle name="40% - Accent5 2 4 2 3 2" xfId="2553" xr:uid="{00000000-0005-0000-0000-0000D00D0000}"/>
    <cellStyle name="40% - Accent5 2 4 2 3 3" xfId="3831" xr:uid="{00000000-0005-0000-0000-0000D10D0000}"/>
    <cellStyle name="40% - Accent5 2 4 2 3 4" xfId="5118" xr:uid="{00000000-0005-0000-0000-0000D20D0000}"/>
    <cellStyle name="40% - Accent5 2 4 2 4" xfId="1701" xr:uid="{00000000-0005-0000-0000-0000D30D0000}"/>
    <cellStyle name="40% - Accent5 2 4 2 5" xfId="2979" xr:uid="{00000000-0005-0000-0000-0000D40D0000}"/>
    <cellStyle name="40% - Accent5 2 4 2 6" xfId="4266" xr:uid="{00000000-0005-0000-0000-0000D50D0000}"/>
    <cellStyle name="40% - Accent5 2 4 3" xfId="622" xr:uid="{00000000-0005-0000-0000-0000D60D0000}"/>
    <cellStyle name="40% - Accent5 2 4 3 2" xfId="1914" xr:uid="{00000000-0005-0000-0000-0000D70D0000}"/>
    <cellStyle name="40% - Accent5 2 4 3 3" xfId="3192" xr:uid="{00000000-0005-0000-0000-0000D80D0000}"/>
    <cellStyle name="40% - Accent5 2 4 3 4" xfId="4479" xr:uid="{00000000-0005-0000-0000-0000D90D0000}"/>
    <cellStyle name="40% - Accent5 2 4 4" xfId="1048" xr:uid="{00000000-0005-0000-0000-0000DA0D0000}"/>
    <cellStyle name="40% - Accent5 2 4 4 2" xfId="2340" xr:uid="{00000000-0005-0000-0000-0000DB0D0000}"/>
    <cellStyle name="40% - Accent5 2 4 4 3" xfId="3618" xr:uid="{00000000-0005-0000-0000-0000DC0D0000}"/>
    <cellStyle name="40% - Accent5 2 4 4 4" xfId="4905" xr:uid="{00000000-0005-0000-0000-0000DD0D0000}"/>
    <cellStyle name="40% - Accent5 2 4 5" xfId="1488" xr:uid="{00000000-0005-0000-0000-0000DE0D0000}"/>
    <cellStyle name="40% - Accent5 2 4 6" xfId="2766" xr:uid="{00000000-0005-0000-0000-0000DF0D0000}"/>
    <cellStyle name="40% - Accent5 2 4 7" xfId="4053" xr:uid="{00000000-0005-0000-0000-0000E00D0000}"/>
    <cellStyle name="40% - Accent5 2 5" xfId="187" xr:uid="{00000000-0005-0000-0000-0000E10D0000}"/>
    <cellStyle name="40% - Accent5 2 5 2" xfId="410" xr:uid="{00000000-0005-0000-0000-0000E20D0000}"/>
    <cellStyle name="40% - Accent5 2 5 2 2" xfId="836" xr:uid="{00000000-0005-0000-0000-0000E30D0000}"/>
    <cellStyle name="40% - Accent5 2 5 2 2 2" xfId="2128" xr:uid="{00000000-0005-0000-0000-0000E40D0000}"/>
    <cellStyle name="40% - Accent5 2 5 2 2 3" xfId="3406" xr:uid="{00000000-0005-0000-0000-0000E50D0000}"/>
    <cellStyle name="40% - Accent5 2 5 2 2 4" xfId="4693" xr:uid="{00000000-0005-0000-0000-0000E60D0000}"/>
    <cellStyle name="40% - Accent5 2 5 2 3" xfId="1262" xr:uid="{00000000-0005-0000-0000-0000E70D0000}"/>
    <cellStyle name="40% - Accent5 2 5 2 3 2" xfId="2554" xr:uid="{00000000-0005-0000-0000-0000E80D0000}"/>
    <cellStyle name="40% - Accent5 2 5 2 3 3" xfId="3832" xr:uid="{00000000-0005-0000-0000-0000E90D0000}"/>
    <cellStyle name="40% - Accent5 2 5 2 3 4" xfId="5119" xr:uid="{00000000-0005-0000-0000-0000EA0D0000}"/>
    <cellStyle name="40% - Accent5 2 5 2 4" xfId="1702" xr:uid="{00000000-0005-0000-0000-0000EB0D0000}"/>
    <cellStyle name="40% - Accent5 2 5 2 5" xfId="2980" xr:uid="{00000000-0005-0000-0000-0000EC0D0000}"/>
    <cellStyle name="40% - Accent5 2 5 2 6" xfId="4267" xr:uid="{00000000-0005-0000-0000-0000ED0D0000}"/>
    <cellStyle name="40% - Accent5 2 5 3" xfId="623" xr:uid="{00000000-0005-0000-0000-0000EE0D0000}"/>
    <cellStyle name="40% - Accent5 2 5 3 2" xfId="1915" xr:uid="{00000000-0005-0000-0000-0000EF0D0000}"/>
    <cellStyle name="40% - Accent5 2 5 3 3" xfId="3193" xr:uid="{00000000-0005-0000-0000-0000F00D0000}"/>
    <cellStyle name="40% - Accent5 2 5 3 4" xfId="4480" xr:uid="{00000000-0005-0000-0000-0000F10D0000}"/>
    <cellStyle name="40% - Accent5 2 5 4" xfId="1049" xr:uid="{00000000-0005-0000-0000-0000F20D0000}"/>
    <cellStyle name="40% - Accent5 2 5 4 2" xfId="2341" xr:uid="{00000000-0005-0000-0000-0000F30D0000}"/>
    <cellStyle name="40% - Accent5 2 5 4 3" xfId="3619" xr:uid="{00000000-0005-0000-0000-0000F40D0000}"/>
    <cellStyle name="40% - Accent5 2 5 4 4" xfId="4906" xr:uid="{00000000-0005-0000-0000-0000F50D0000}"/>
    <cellStyle name="40% - Accent5 2 5 5" xfId="1489" xr:uid="{00000000-0005-0000-0000-0000F60D0000}"/>
    <cellStyle name="40% - Accent5 2 5 6" xfId="2767" xr:uid="{00000000-0005-0000-0000-0000F70D0000}"/>
    <cellStyle name="40% - Accent5 2 5 7" xfId="4054" xr:uid="{00000000-0005-0000-0000-0000F80D0000}"/>
    <cellStyle name="40% - Accent5 2 6" xfId="278" xr:uid="{00000000-0005-0000-0000-0000F90D0000}"/>
    <cellStyle name="40% - Accent5 2 6 2" xfId="491" xr:uid="{00000000-0005-0000-0000-0000FA0D0000}"/>
    <cellStyle name="40% - Accent5 2 6 2 2" xfId="916" xr:uid="{00000000-0005-0000-0000-0000FB0D0000}"/>
    <cellStyle name="40% - Accent5 2 6 2 2 2" xfId="2208" xr:uid="{00000000-0005-0000-0000-0000FC0D0000}"/>
    <cellStyle name="40% - Accent5 2 6 2 2 3" xfId="3486" xr:uid="{00000000-0005-0000-0000-0000FD0D0000}"/>
    <cellStyle name="40% - Accent5 2 6 2 2 4" xfId="4773" xr:uid="{00000000-0005-0000-0000-0000FE0D0000}"/>
    <cellStyle name="40% - Accent5 2 6 2 3" xfId="1342" xr:uid="{00000000-0005-0000-0000-0000FF0D0000}"/>
    <cellStyle name="40% - Accent5 2 6 2 3 2" xfId="2634" xr:uid="{00000000-0005-0000-0000-0000000E0000}"/>
    <cellStyle name="40% - Accent5 2 6 2 3 3" xfId="3912" xr:uid="{00000000-0005-0000-0000-0000010E0000}"/>
    <cellStyle name="40% - Accent5 2 6 2 3 4" xfId="5199" xr:uid="{00000000-0005-0000-0000-0000020E0000}"/>
    <cellStyle name="40% - Accent5 2 6 2 4" xfId="1782" xr:uid="{00000000-0005-0000-0000-0000030E0000}"/>
    <cellStyle name="40% - Accent5 2 6 2 5" xfId="3060" xr:uid="{00000000-0005-0000-0000-0000040E0000}"/>
    <cellStyle name="40% - Accent5 2 6 2 6" xfId="4347" xr:uid="{00000000-0005-0000-0000-0000050E0000}"/>
    <cellStyle name="40% - Accent5 2 6 3" xfId="703" xr:uid="{00000000-0005-0000-0000-0000060E0000}"/>
    <cellStyle name="40% - Accent5 2 6 3 2" xfId="1995" xr:uid="{00000000-0005-0000-0000-0000070E0000}"/>
    <cellStyle name="40% - Accent5 2 6 3 3" xfId="3273" xr:uid="{00000000-0005-0000-0000-0000080E0000}"/>
    <cellStyle name="40% - Accent5 2 6 3 4" xfId="4560" xr:uid="{00000000-0005-0000-0000-0000090E0000}"/>
    <cellStyle name="40% - Accent5 2 6 4" xfId="1129" xr:uid="{00000000-0005-0000-0000-00000A0E0000}"/>
    <cellStyle name="40% - Accent5 2 6 4 2" xfId="2421" xr:uid="{00000000-0005-0000-0000-00000B0E0000}"/>
    <cellStyle name="40% - Accent5 2 6 4 3" xfId="3699" xr:uid="{00000000-0005-0000-0000-00000C0E0000}"/>
    <cellStyle name="40% - Accent5 2 6 4 4" xfId="4986" xr:uid="{00000000-0005-0000-0000-00000D0E0000}"/>
    <cellStyle name="40% - Accent5 2 6 5" xfId="1569" xr:uid="{00000000-0005-0000-0000-00000E0E0000}"/>
    <cellStyle name="40% - Accent5 2 6 6" xfId="2847" xr:uid="{00000000-0005-0000-0000-00000F0E0000}"/>
    <cellStyle name="40% - Accent5 2 6 7" xfId="4134" xr:uid="{00000000-0005-0000-0000-0000100E0000}"/>
    <cellStyle name="40% - Accent5 2 7" xfId="405" xr:uid="{00000000-0005-0000-0000-0000110E0000}"/>
    <cellStyle name="40% - Accent5 2 7 2" xfId="831" xr:uid="{00000000-0005-0000-0000-0000120E0000}"/>
    <cellStyle name="40% - Accent5 2 7 2 2" xfId="2123" xr:uid="{00000000-0005-0000-0000-0000130E0000}"/>
    <cellStyle name="40% - Accent5 2 7 2 3" xfId="3401" xr:uid="{00000000-0005-0000-0000-0000140E0000}"/>
    <cellStyle name="40% - Accent5 2 7 2 4" xfId="4688" xr:uid="{00000000-0005-0000-0000-0000150E0000}"/>
    <cellStyle name="40% - Accent5 2 7 3" xfId="1257" xr:uid="{00000000-0005-0000-0000-0000160E0000}"/>
    <cellStyle name="40% - Accent5 2 7 3 2" xfId="2549" xr:uid="{00000000-0005-0000-0000-0000170E0000}"/>
    <cellStyle name="40% - Accent5 2 7 3 3" xfId="3827" xr:uid="{00000000-0005-0000-0000-0000180E0000}"/>
    <cellStyle name="40% - Accent5 2 7 3 4" xfId="5114" xr:uid="{00000000-0005-0000-0000-0000190E0000}"/>
    <cellStyle name="40% - Accent5 2 7 4" xfId="1697" xr:uid="{00000000-0005-0000-0000-00001A0E0000}"/>
    <cellStyle name="40% - Accent5 2 7 5" xfId="2975" xr:uid="{00000000-0005-0000-0000-00001B0E0000}"/>
    <cellStyle name="40% - Accent5 2 7 6" xfId="4262" xr:uid="{00000000-0005-0000-0000-00001C0E0000}"/>
    <cellStyle name="40% - Accent5 2 8" xfId="618" xr:uid="{00000000-0005-0000-0000-00001D0E0000}"/>
    <cellStyle name="40% - Accent5 2 8 2" xfId="1910" xr:uid="{00000000-0005-0000-0000-00001E0E0000}"/>
    <cellStyle name="40% - Accent5 2 8 3" xfId="3188" xr:uid="{00000000-0005-0000-0000-00001F0E0000}"/>
    <cellStyle name="40% - Accent5 2 8 4" xfId="4475" xr:uid="{00000000-0005-0000-0000-0000200E0000}"/>
    <cellStyle name="40% - Accent5 2 9" xfId="1044" xr:uid="{00000000-0005-0000-0000-0000210E0000}"/>
    <cellStyle name="40% - Accent5 2 9 2" xfId="2336" xr:uid="{00000000-0005-0000-0000-0000220E0000}"/>
    <cellStyle name="40% - Accent5 2 9 3" xfId="3614" xr:uid="{00000000-0005-0000-0000-0000230E0000}"/>
    <cellStyle name="40% - Accent5 2 9 4" xfId="4901" xr:uid="{00000000-0005-0000-0000-0000240E0000}"/>
    <cellStyle name="40% - Accent5 3" xfId="188" xr:uid="{00000000-0005-0000-0000-0000250E0000}"/>
    <cellStyle name="40% - Accent5 3 2" xfId="189" xr:uid="{00000000-0005-0000-0000-0000260E0000}"/>
    <cellStyle name="40% - Accent5 3 2 2" xfId="412" xr:uid="{00000000-0005-0000-0000-0000270E0000}"/>
    <cellStyle name="40% - Accent5 3 2 2 2" xfId="838" xr:uid="{00000000-0005-0000-0000-0000280E0000}"/>
    <cellStyle name="40% - Accent5 3 2 2 2 2" xfId="2130" xr:uid="{00000000-0005-0000-0000-0000290E0000}"/>
    <cellStyle name="40% - Accent5 3 2 2 2 3" xfId="3408" xr:uid="{00000000-0005-0000-0000-00002A0E0000}"/>
    <cellStyle name="40% - Accent5 3 2 2 2 4" xfId="4695" xr:uid="{00000000-0005-0000-0000-00002B0E0000}"/>
    <cellStyle name="40% - Accent5 3 2 2 3" xfId="1264" xr:uid="{00000000-0005-0000-0000-00002C0E0000}"/>
    <cellStyle name="40% - Accent5 3 2 2 3 2" xfId="2556" xr:uid="{00000000-0005-0000-0000-00002D0E0000}"/>
    <cellStyle name="40% - Accent5 3 2 2 3 3" xfId="3834" xr:uid="{00000000-0005-0000-0000-00002E0E0000}"/>
    <cellStyle name="40% - Accent5 3 2 2 3 4" xfId="5121" xr:uid="{00000000-0005-0000-0000-00002F0E0000}"/>
    <cellStyle name="40% - Accent5 3 2 2 4" xfId="1704" xr:uid="{00000000-0005-0000-0000-0000300E0000}"/>
    <cellStyle name="40% - Accent5 3 2 2 5" xfId="2982" xr:uid="{00000000-0005-0000-0000-0000310E0000}"/>
    <cellStyle name="40% - Accent5 3 2 2 6" xfId="4269" xr:uid="{00000000-0005-0000-0000-0000320E0000}"/>
    <cellStyle name="40% - Accent5 3 2 3" xfId="625" xr:uid="{00000000-0005-0000-0000-0000330E0000}"/>
    <cellStyle name="40% - Accent5 3 2 3 2" xfId="1917" xr:uid="{00000000-0005-0000-0000-0000340E0000}"/>
    <cellStyle name="40% - Accent5 3 2 3 3" xfId="3195" xr:uid="{00000000-0005-0000-0000-0000350E0000}"/>
    <cellStyle name="40% - Accent5 3 2 3 4" xfId="4482" xr:uid="{00000000-0005-0000-0000-0000360E0000}"/>
    <cellStyle name="40% - Accent5 3 2 4" xfId="1051" xr:uid="{00000000-0005-0000-0000-0000370E0000}"/>
    <cellStyle name="40% - Accent5 3 2 4 2" xfId="2343" xr:uid="{00000000-0005-0000-0000-0000380E0000}"/>
    <cellStyle name="40% - Accent5 3 2 4 3" xfId="3621" xr:uid="{00000000-0005-0000-0000-0000390E0000}"/>
    <cellStyle name="40% - Accent5 3 2 4 4" xfId="4908" xr:uid="{00000000-0005-0000-0000-00003A0E0000}"/>
    <cellStyle name="40% - Accent5 3 2 5" xfId="1491" xr:uid="{00000000-0005-0000-0000-00003B0E0000}"/>
    <cellStyle name="40% - Accent5 3 2 6" xfId="2769" xr:uid="{00000000-0005-0000-0000-00003C0E0000}"/>
    <cellStyle name="40% - Accent5 3 2 7" xfId="4056" xr:uid="{00000000-0005-0000-0000-00003D0E0000}"/>
    <cellStyle name="40% - Accent5 3 2 8" xfId="5292" xr:uid="{00000000-0005-0000-0000-00003E0E0000}"/>
    <cellStyle name="40% - Accent5 3 3" xfId="411" xr:uid="{00000000-0005-0000-0000-00003F0E0000}"/>
    <cellStyle name="40% - Accent5 3 3 2" xfId="837" xr:uid="{00000000-0005-0000-0000-0000400E0000}"/>
    <cellStyle name="40% - Accent5 3 3 2 2" xfId="2129" xr:uid="{00000000-0005-0000-0000-0000410E0000}"/>
    <cellStyle name="40% - Accent5 3 3 2 3" xfId="3407" xr:uid="{00000000-0005-0000-0000-0000420E0000}"/>
    <cellStyle name="40% - Accent5 3 3 2 4" xfId="4694" xr:uid="{00000000-0005-0000-0000-0000430E0000}"/>
    <cellStyle name="40% - Accent5 3 3 3" xfId="1263" xr:uid="{00000000-0005-0000-0000-0000440E0000}"/>
    <cellStyle name="40% - Accent5 3 3 3 2" xfId="2555" xr:uid="{00000000-0005-0000-0000-0000450E0000}"/>
    <cellStyle name="40% - Accent5 3 3 3 3" xfId="3833" xr:uid="{00000000-0005-0000-0000-0000460E0000}"/>
    <cellStyle name="40% - Accent5 3 3 3 4" xfId="5120" xr:uid="{00000000-0005-0000-0000-0000470E0000}"/>
    <cellStyle name="40% - Accent5 3 3 4" xfId="1703" xr:uid="{00000000-0005-0000-0000-0000480E0000}"/>
    <cellStyle name="40% - Accent5 3 3 5" xfId="2981" xr:uid="{00000000-0005-0000-0000-0000490E0000}"/>
    <cellStyle name="40% - Accent5 3 3 6" xfId="4268" xr:uid="{00000000-0005-0000-0000-00004A0E0000}"/>
    <cellStyle name="40% - Accent5 3 4" xfId="624" xr:uid="{00000000-0005-0000-0000-00004B0E0000}"/>
    <cellStyle name="40% - Accent5 3 4 2" xfId="1916" xr:uid="{00000000-0005-0000-0000-00004C0E0000}"/>
    <cellStyle name="40% - Accent5 3 4 3" xfId="3194" xr:uid="{00000000-0005-0000-0000-00004D0E0000}"/>
    <cellStyle name="40% - Accent5 3 4 4" xfId="4481" xr:uid="{00000000-0005-0000-0000-00004E0E0000}"/>
    <cellStyle name="40% - Accent5 3 5" xfId="1050" xr:uid="{00000000-0005-0000-0000-00004F0E0000}"/>
    <cellStyle name="40% - Accent5 3 5 2" xfId="2342" xr:uid="{00000000-0005-0000-0000-0000500E0000}"/>
    <cellStyle name="40% - Accent5 3 5 3" xfId="3620" xr:uid="{00000000-0005-0000-0000-0000510E0000}"/>
    <cellStyle name="40% - Accent5 3 5 4" xfId="4907" xr:uid="{00000000-0005-0000-0000-0000520E0000}"/>
    <cellStyle name="40% - Accent5 3 6" xfId="1490" xr:uid="{00000000-0005-0000-0000-0000530E0000}"/>
    <cellStyle name="40% - Accent5 3 7" xfId="2768" xr:uid="{00000000-0005-0000-0000-0000540E0000}"/>
    <cellStyle name="40% - Accent5 3 8" xfId="4055" xr:uid="{00000000-0005-0000-0000-0000550E0000}"/>
    <cellStyle name="40% - Accent5 3 9" xfId="5291" xr:uid="{00000000-0005-0000-0000-0000560E0000}"/>
    <cellStyle name="40% - Accent5 4" xfId="190" xr:uid="{00000000-0005-0000-0000-0000570E0000}"/>
    <cellStyle name="40% - Accent5 4 2" xfId="413" xr:uid="{00000000-0005-0000-0000-0000580E0000}"/>
    <cellStyle name="40% - Accent5 4 2 2" xfId="839" xr:uid="{00000000-0005-0000-0000-0000590E0000}"/>
    <cellStyle name="40% - Accent5 4 2 2 2" xfId="2131" xr:uid="{00000000-0005-0000-0000-00005A0E0000}"/>
    <cellStyle name="40% - Accent5 4 2 2 3" xfId="3409" xr:uid="{00000000-0005-0000-0000-00005B0E0000}"/>
    <cellStyle name="40% - Accent5 4 2 2 4" xfId="4696" xr:uid="{00000000-0005-0000-0000-00005C0E0000}"/>
    <cellStyle name="40% - Accent5 4 2 3" xfId="1265" xr:uid="{00000000-0005-0000-0000-00005D0E0000}"/>
    <cellStyle name="40% - Accent5 4 2 3 2" xfId="2557" xr:uid="{00000000-0005-0000-0000-00005E0E0000}"/>
    <cellStyle name="40% - Accent5 4 2 3 3" xfId="3835" xr:uid="{00000000-0005-0000-0000-00005F0E0000}"/>
    <cellStyle name="40% - Accent5 4 2 3 4" xfId="5122" xr:uid="{00000000-0005-0000-0000-0000600E0000}"/>
    <cellStyle name="40% - Accent5 4 2 4" xfId="1705" xr:uid="{00000000-0005-0000-0000-0000610E0000}"/>
    <cellStyle name="40% - Accent5 4 2 5" xfId="2983" xr:uid="{00000000-0005-0000-0000-0000620E0000}"/>
    <cellStyle name="40% - Accent5 4 2 6" xfId="4270" xr:uid="{00000000-0005-0000-0000-0000630E0000}"/>
    <cellStyle name="40% - Accent5 4 3" xfId="626" xr:uid="{00000000-0005-0000-0000-0000640E0000}"/>
    <cellStyle name="40% - Accent5 4 3 2" xfId="1918" xr:uid="{00000000-0005-0000-0000-0000650E0000}"/>
    <cellStyle name="40% - Accent5 4 3 3" xfId="3196" xr:uid="{00000000-0005-0000-0000-0000660E0000}"/>
    <cellStyle name="40% - Accent5 4 3 4" xfId="4483" xr:uid="{00000000-0005-0000-0000-0000670E0000}"/>
    <cellStyle name="40% - Accent5 4 4" xfId="1052" xr:uid="{00000000-0005-0000-0000-0000680E0000}"/>
    <cellStyle name="40% - Accent5 4 4 2" xfId="2344" xr:uid="{00000000-0005-0000-0000-0000690E0000}"/>
    <cellStyle name="40% - Accent5 4 4 3" xfId="3622" xr:uid="{00000000-0005-0000-0000-00006A0E0000}"/>
    <cellStyle name="40% - Accent5 4 4 4" xfId="4909" xr:uid="{00000000-0005-0000-0000-00006B0E0000}"/>
    <cellStyle name="40% - Accent5 4 5" xfId="1492" xr:uid="{00000000-0005-0000-0000-00006C0E0000}"/>
    <cellStyle name="40% - Accent5 4 6" xfId="2770" xr:uid="{00000000-0005-0000-0000-00006D0E0000}"/>
    <cellStyle name="40% - Accent5 4 7" xfId="4057" xr:uid="{00000000-0005-0000-0000-00006E0E0000}"/>
    <cellStyle name="40% - Accent5 4 8" xfId="5293" xr:uid="{00000000-0005-0000-0000-00006F0E0000}"/>
    <cellStyle name="40% - Accent5 5" xfId="191" xr:uid="{00000000-0005-0000-0000-0000700E0000}"/>
    <cellStyle name="40% - Accent5 5 2" xfId="414" xr:uid="{00000000-0005-0000-0000-0000710E0000}"/>
    <cellStyle name="40% - Accent5 5 2 2" xfId="840" xr:uid="{00000000-0005-0000-0000-0000720E0000}"/>
    <cellStyle name="40% - Accent5 5 2 2 2" xfId="2132" xr:uid="{00000000-0005-0000-0000-0000730E0000}"/>
    <cellStyle name="40% - Accent5 5 2 2 3" xfId="3410" xr:uid="{00000000-0005-0000-0000-0000740E0000}"/>
    <cellStyle name="40% - Accent5 5 2 2 4" xfId="4697" xr:uid="{00000000-0005-0000-0000-0000750E0000}"/>
    <cellStyle name="40% - Accent5 5 2 3" xfId="1266" xr:uid="{00000000-0005-0000-0000-0000760E0000}"/>
    <cellStyle name="40% - Accent5 5 2 3 2" xfId="2558" xr:uid="{00000000-0005-0000-0000-0000770E0000}"/>
    <cellStyle name="40% - Accent5 5 2 3 3" xfId="3836" xr:uid="{00000000-0005-0000-0000-0000780E0000}"/>
    <cellStyle name="40% - Accent5 5 2 3 4" xfId="5123" xr:uid="{00000000-0005-0000-0000-0000790E0000}"/>
    <cellStyle name="40% - Accent5 5 2 4" xfId="1706" xr:uid="{00000000-0005-0000-0000-00007A0E0000}"/>
    <cellStyle name="40% - Accent5 5 2 5" xfId="2984" xr:uid="{00000000-0005-0000-0000-00007B0E0000}"/>
    <cellStyle name="40% - Accent5 5 2 6" xfId="4271" xr:uid="{00000000-0005-0000-0000-00007C0E0000}"/>
    <cellStyle name="40% - Accent5 5 3" xfId="627" xr:uid="{00000000-0005-0000-0000-00007D0E0000}"/>
    <cellStyle name="40% - Accent5 5 3 2" xfId="1919" xr:uid="{00000000-0005-0000-0000-00007E0E0000}"/>
    <cellStyle name="40% - Accent5 5 3 3" xfId="3197" xr:uid="{00000000-0005-0000-0000-00007F0E0000}"/>
    <cellStyle name="40% - Accent5 5 3 4" xfId="4484" xr:uid="{00000000-0005-0000-0000-0000800E0000}"/>
    <cellStyle name="40% - Accent5 5 4" xfId="1053" xr:uid="{00000000-0005-0000-0000-0000810E0000}"/>
    <cellStyle name="40% - Accent5 5 4 2" xfId="2345" xr:uid="{00000000-0005-0000-0000-0000820E0000}"/>
    <cellStyle name="40% - Accent5 5 4 3" xfId="3623" xr:uid="{00000000-0005-0000-0000-0000830E0000}"/>
    <cellStyle name="40% - Accent5 5 4 4" xfId="4910" xr:uid="{00000000-0005-0000-0000-0000840E0000}"/>
    <cellStyle name="40% - Accent5 5 5" xfId="1493" xr:uid="{00000000-0005-0000-0000-0000850E0000}"/>
    <cellStyle name="40% - Accent5 5 6" xfId="2771" xr:uid="{00000000-0005-0000-0000-0000860E0000}"/>
    <cellStyle name="40% - Accent5 5 7" xfId="4058" xr:uid="{00000000-0005-0000-0000-0000870E0000}"/>
    <cellStyle name="40% - Accent5 6" xfId="192" xr:uid="{00000000-0005-0000-0000-0000880E0000}"/>
    <cellStyle name="40% - Accent5 6 2" xfId="415" xr:uid="{00000000-0005-0000-0000-0000890E0000}"/>
    <cellStyle name="40% - Accent5 6 2 2" xfId="841" xr:uid="{00000000-0005-0000-0000-00008A0E0000}"/>
    <cellStyle name="40% - Accent5 6 2 2 2" xfId="2133" xr:uid="{00000000-0005-0000-0000-00008B0E0000}"/>
    <cellStyle name="40% - Accent5 6 2 2 3" xfId="3411" xr:uid="{00000000-0005-0000-0000-00008C0E0000}"/>
    <cellStyle name="40% - Accent5 6 2 2 4" xfId="4698" xr:uid="{00000000-0005-0000-0000-00008D0E0000}"/>
    <cellStyle name="40% - Accent5 6 2 3" xfId="1267" xr:uid="{00000000-0005-0000-0000-00008E0E0000}"/>
    <cellStyle name="40% - Accent5 6 2 3 2" xfId="2559" xr:uid="{00000000-0005-0000-0000-00008F0E0000}"/>
    <cellStyle name="40% - Accent5 6 2 3 3" xfId="3837" xr:uid="{00000000-0005-0000-0000-0000900E0000}"/>
    <cellStyle name="40% - Accent5 6 2 3 4" xfId="5124" xr:uid="{00000000-0005-0000-0000-0000910E0000}"/>
    <cellStyle name="40% - Accent5 6 2 4" xfId="1707" xr:uid="{00000000-0005-0000-0000-0000920E0000}"/>
    <cellStyle name="40% - Accent5 6 2 5" xfId="2985" xr:uid="{00000000-0005-0000-0000-0000930E0000}"/>
    <cellStyle name="40% - Accent5 6 2 6" xfId="4272" xr:uid="{00000000-0005-0000-0000-0000940E0000}"/>
    <cellStyle name="40% - Accent5 6 3" xfId="628" xr:uid="{00000000-0005-0000-0000-0000950E0000}"/>
    <cellStyle name="40% - Accent5 6 3 2" xfId="1920" xr:uid="{00000000-0005-0000-0000-0000960E0000}"/>
    <cellStyle name="40% - Accent5 6 3 3" xfId="3198" xr:uid="{00000000-0005-0000-0000-0000970E0000}"/>
    <cellStyle name="40% - Accent5 6 3 4" xfId="4485" xr:uid="{00000000-0005-0000-0000-0000980E0000}"/>
    <cellStyle name="40% - Accent5 6 4" xfId="1054" xr:uid="{00000000-0005-0000-0000-0000990E0000}"/>
    <cellStyle name="40% - Accent5 6 4 2" xfId="2346" xr:uid="{00000000-0005-0000-0000-00009A0E0000}"/>
    <cellStyle name="40% - Accent5 6 4 3" xfId="3624" xr:uid="{00000000-0005-0000-0000-00009B0E0000}"/>
    <cellStyle name="40% - Accent5 6 4 4" xfId="4911" xr:uid="{00000000-0005-0000-0000-00009C0E0000}"/>
    <cellStyle name="40% - Accent5 6 5" xfId="1494" xr:uid="{00000000-0005-0000-0000-00009D0E0000}"/>
    <cellStyle name="40% - Accent5 6 6" xfId="2772" xr:uid="{00000000-0005-0000-0000-00009E0E0000}"/>
    <cellStyle name="40% - Accent5 6 7" xfId="4059" xr:uid="{00000000-0005-0000-0000-00009F0E0000}"/>
    <cellStyle name="40% - Accent5 7" xfId="264" xr:uid="{00000000-0005-0000-0000-0000A00E0000}"/>
    <cellStyle name="40% - Accent5 7 2" xfId="477" xr:uid="{00000000-0005-0000-0000-0000A10E0000}"/>
    <cellStyle name="40% - Accent5 7 2 2" xfId="902" xr:uid="{00000000-0005-0000-0000-0000A20E0000}"/>
    <cellStyle name="40% - Accent5 7 2 2 2" xfId="2194" xr:uid="{00000000-0005-0000-0000-0000A30E0000}"/>
    <cellStyle name="40% - Accent5 7 2 2 3" xfId="3472" xr:uid="{00000000-0005-0000-0000-0000A40E0000}"/>
    <cellStyle name="40% - Accent5 7 2 2 4" xfId="4759" xr:uid="{00000000-0005-0000-0000-0000A50E0000}"/>
    <cellStyle name="40% - Accent5 7 2 3" xfId="1328" xr:uid="{00000000-0005-0000-0000-0000A60E0000}"/>
    <cellStyle name="40% - Accent5 7 2 3 2" xfId="2620" xr:uid="{00000000-0005-0000-0000-0000A70E0000}"/>
    <cellStyle name="40% - Accent5 7 2 3 3" xfId="3898" xr:uid="{00000000-0005-0000-0000-0000A80E0000}"/>
    <cellStyle name="40% - Accent5 7 2 3 4" xfId="5185" xr:uid="{00000000-0005-0000-0000-0000A90E0000}"/>
    <cellStyle name="40% - Accent5 7 2 4" xfId="1768" xr:uid="{00000000-0005-0000-0000-0000AA0E0000}"/>
    <cellStyle name="40% - Accent5 7 2 5" xfId="3046" xr:uid="{00000000-0005-0000-0000-0000AB0E0000}"/>
    <cellStyle name="40% - Accent5 7 2 6" xfId="4333" xr:uid="{00000000-0005-0000-0000-0000AC0E0000}"/>
    <cellStyle name="40% - Accent5 7 3" xfId="689" xr:uid="{00000000-0005-0000-0000-0000AD0E0000}"/>
    <cellStyle name="40% - Accent5 7 3 2" xfId="1981" xr:uid="{00000000-0005-0000-0000-0000AE0E0000}"/>
    <cellStyle name="40% - Accent5 7 3 3" xfId="3259" xr:uid="{00000000-0005-0000-0000-0000AF0E0000}"/>
    <cellStyle name="40% - Accent5 7 3 4" xfId="4546" xr:uid="{00000000-0005-0000-0000-0000B00E0000}"/>
    <cellStyle name="40% - Accent5 7 4" xfId="1115" xr:uid="{00000000-0005-0000-0000-0000B10E0000}"/>
    <cellStyle name="40% - Accent5 7 4 2" xfId="2407" xr:uid="{00000000-0005-0000-0000-0000B20E0000}"/>
    <cellStyle name="40% - Accent5 7 4 3" xfId="3685" xr:uid="{00000000-0005-0000-0000-0000B30E0000}"/>
    <cellStyle name="40% - Accent5 7 4 4" xfId="4972" xr:uid="{00000000-0005-0000-0000-0000B40E0000}"/>
    <cellStyle name="40% - Accent5 7 5" xfId="1555" xr:uid="{00000000-0005-0000-0000-0000B50E0000}"/>
    <cellStyle name="40% - Accent5 7 6" xfId="2833" xr:uid="{00000000-0005-0000-0000-0000B60E0000}"/>
    <cellStyle name="40% - Accent5 7 7" xfId="4120" xr:uid="{00000000-0005-0000-0000-0000B70E0000}"/>
    <cellStyle name="40% - Accent5 8" xfId="404" xr:uid="{00000000-0005-0000-0000-0000B80E0000}"/>
    <cellStyle name="40% - Accent5 8 2" xfId="830" xr:uid="{00000000-0005-0000-0000-0000B90E0000}"/>
    <cellStyle name="40% - Accent5 8 2 2" xfId="2122" xr:uid="{00000000-0005-0000-0000-0000BA0E0000}"/>
    <cellStyle name="40% - Accent5 8 2 3" xfId="3400" xr:uid="{00000000-0005-0000-0000-0000BB0E0000}"/>
    <cellStyle name="40% - Accent5 8 2 4" xfId="4687" xr:uid="{00000000-0005-0000-0000-0000BC0E0000}"/>
    <cellStyle name="40% - Accent5 8 3" xfId="1256" xr:uid="{00000000-0005-0000-0000-0000BD0E0000}"/>
    <cellStyle name="40% - Accent5 8 3 2" xfId="2548" xr:uid="{00000000-0005-0000-0000-0000BE0E0000}"/>
    <cellStyle name="40% - Accent5 8 3 3" xfId="3826" xr:uid="{00000000-0005-0000-0000-0000BF0E0000}"/>
    <cellStyle name="40% - Accent5 8 3 4" xfId="5113" xr:uid="{00000000-0005-0000-0000-0000C00E0000}"/>
    <cellStyle name="40% - Accent5 8 4" xfId="1696" xr:uid="{00000000-0005-0000-0000-0000C10E0000}"/>
    <cellStyle name="40% - Accent5 8 5" xfId="2974" xr:uid="{00000000-0005-0000-0000-0000C20E0000}"/>
    <cellStyle name="40% - Accent5 8 6" xfId="4261" xr:uid="{00000000-0005-0000-0000-0000C30E0000}"/>
    <cellStyle name="40% - Accent5 9" xfId="617" xr:uid="{00000000-0005-0000-0000-0000C40E0000}"/>
    <cellStyle name="40% - Accent5 9 2" xfId="1909" xr:uid="{00000000-0005-0000-0000-0000C50E0000}"/>
    <cellStyle name="40% - Accent5 9 3" xfId="3187" xr:uid="{00000000-0005-0000-0000-0000C60E0000}"/>
    <cellStyle name="40% - Accent5 9 4" xfId="4474" xr:uid="{00000000-0005-0000-0000-0000C70E0000}"/>
    <cellStyle name="40% - Accent6" xfId="78" builtinId="51" customBuiltin="1"/>
    <cellStyle name="40% - Accent6 10" xfId="1055" xr:uid="{00000000-0005-0000-0000-0000C90E0000}"/>
    <cellStyle name="40% - Accent6 10 2" xfId="2347" xr:uid="{00000000-0005-0000-0000-0000CA0E0000}"/>
    <cellStyle name="40% - Accent6 10 3" xfId="3625" xr:uid="{00000000-0005-0000-0000-0000CB0E0000}"/>
    <cellStyle name="40% - Accent6 10 4" xfId="4912" xr:uid="{00000000-0005-0000-0000-0000CC0E0000}"/>
    <cellStyle name="40% - Accent6 11" xfId="1495" xr:uid="{00000000-0005-0000-0000-0000CD0E0000}"/>
    <cellStyle name="40% - Accent6 12" xfId="2773" xr:uid="{00000000-0005-0000-0000-0000CE0E0000}"/>
    <cellStyle name="40% - Accent6 13" xfId="4060" xr:uid="{00000000-0005-0000-0000-0000CF0E0000}"/>
    <cellStyle name="40% - Accent6 14" xfId="5294" xr:uid="{00000000-0005-0000-0000-0000D00E0000}"/>
    <cellStyle name="40% - Accent6 2" xfId="21" xr:uid="{00000000-0005-0000-0000-0000D10E0000}"/>
    <cellStyle name="40% - Accent6 2 10" xfId="1496" xr:uid="{00000000-0005-0000-0000-0000D20E0000}"/>
    <cellStyle name="40% - Accent6 2 11" xfId="2774" xr:uid="{00000000-0005-0000-0000-0000D30E0000}"/>
    <cellStyle name="40% - Accent6 2 12" xfId="4061" xr:uid="{00000000-0005-0000-0000-0000D40E0000}"/>
    <cellStyle name="40% - Accent6 2 13" xfId="5295" xr:uid="{00000000-0005-0000-0000-0000D50E0000}"/>
    <cellStyle name="40% - Accent6 2 2" xfId="193" xr:uid="{00000000-0005-0000-0000-0000D60E0000}"/>
    <cellStyle name="40% - Accent6 2 2 2" xfId="194" xr:uid="{00000000-0005-0000-0000-0000D70E0000}"/>
    <cellStyle name="40% - Accent6 2 2 2 2" xfId="419" xr:uid="{00000000-0005-0000-0000-0000D80E0000}"/>
    <cellStyle name="40% - Accent6 2 2 2 2 2" xfId="845" xr:uid="{00000000-0005-0000-0000-0000D90E0000}"/>
    <cellStyle name="40% - Accent6 2 2 2 2 2 2" xfId="2137" xr:uid="{00000000-0005-0000-0000-0000DA0E0000}"/>
    <cellStyle name="40% - Accent6 2 2 2 2 2 3" xfId="3415" xr:uid="{00000000-0005-0000-0000-0000DB0E0000}"/>
    <cellStyle name="40% - Accent6 2 2 2 2 2 4" xfId="4702" xr:uid="{00000000-0005-0000-0000-0000DC0E0000}"/>
    <cellStyle name="40% - Accent6 2 2 2 2 3" xfId="1271" xr:uid="{00000000-0005-0000-0000-0000DD0E0000}"/>
    <cellStyle name="40% - Accent6 2 2 2 2 3 2" xfId="2563" xr:uid="{00000000-0005-0000-0000-0000DE0E0000}"/>
    <cellStyle name="40% - Accent6 2 2 2 2 3 3" xfId="3841" xr:uid="{00000000-0005-0000-0000-0000DF0E0000}"/>
    <cellStyle name="40% - Accent6 2 2 2 2 3 4" xfId="5128" xr:uid="{00000000-0005-0000-0000-0000E00E0000}"/>
    <cellStyle name="40% - Accent6 2 2 2 2 4" xfId="1711" xr:uid="{00000000-0005-0000-0000-0000E10E0000}"/>
    <cellStyle name="40% - Accent6 2 2 2 2 5" xfId="2989" xr:uid="{00000000-0005-0000-0000-0000E20E0000}"/>
    <cellStyle name="40% - Accent6 2 2 2 2 6" xfId="4276" xr:uid="{00000000-0005-0000-0000-0000E30E0000}"/>
    <cellStyle name="40% - Accent6 2 2 2 3" xfId="632" xr:uid="{00000000-0005-0000-0000-0000E40E0000}"/>
    <cellStyle name="40% - Accent6 2 2 2 3 2" xfId="1924" xr:uid="{00000000-0005-0000-0000-0000E50E0000}"/>
    <cellStyle name="40% - Accent6 2 2 2 3 3" xfId="3202" xr:uid="{00000000-0005-0000-0000-0000E60E0000}"/>
    <cellStyle name="40% - Accent6 2 2 2 3 4" xfId="4489" xr:uid="{00000000-0005-0000-0000-0000E70E0000}"/>
    <cellStyle name="40% - Accent6 2 2 2 4" xfId="1058" xr:uid="{00000000-0005-0000-0000-0000E80E0000}"/>
    <cellStyle name="40% - Accent6 2 2 2 4 2" xfId="2350" xr:uid="{00000000-0005-0000-0000-0000E90E0000}"/>
    <cellStyle name="40% - Accent6 2 2 2 4 3" xfId="3628" xr:uid="{00000000-0005-0000-0000-0000EA0E0000}"/>
    <cellStyle name="40% - Accent6 2 2 2 4 4" xfId="4915" xr:uid="{00000000-0005-0000-0000-0000EB0E0000}"/>
    <cellStyle name="40% - Accent6 2 2 2 5" xfId="1498" xr:uid="{00000000-0005-0000-0000-0000EC0E0000}"/>
    <cellStyle name="40% - Accent6 2 2 2 6" xfId="2776" xr:uid="{00000000-0005-0000-0000-0000ED0E0000}"/>
    <cellStyle name="40% - Accent6 2 2 2 7" xfId="4063" xr:uid="{00000000-0005-0000-0000-0000EE0E0000}"/>
    <cellStyle name="40% - Accent6 2 2 2 8" xfId="5297" xr:uid="{00000000-0005-0000-0000-0000EF0E0000}"/>
    <cellStyle name="40% - Accent6 2 2 3" xfId="418" xr:uid="{00000000-0005-0000-0000-0000F00E0000}"/>
    <cellStyle name="40% - Accent6 2 2 3 2" xfId="844" xr:uid="{00000000-0005-0000-0000-0000F10E0000}"/>
    <cellStyle name="40% - Accent6 2 2 3 2 2" xfId="2136" xr:uid="{00000000-0005-0000-0000-0000F20E0000}"/>
    <cellStyle name="40% - Accent6 2 2 3 2 3" xfId="3414" xr:uid="{00000000-0005-0000-0000-0000F30E0000}"/>
    <cellStyle name="40% - Accent6 2 2 3 2 4" xfId="4701" xr:uid="{00000000-0005-0000-0000-0000F40E0000}"/>
    <cellStyle name="40% - Accent6 2 2 3 3" xfId="1270" xr:uid="{00000000-0005-0000-0000-0000F50E0000}"/>
    <cellStyle name="40% - Accent6 2 2 3 3 2" xfId="2562" xr:uid="{00000000-0005-0000-0000-0000F60E0000}"/>
    <cellStyle name="40% - Accent6 2 2 3 3 3" xfId="3840" xr:uid="{00000000-0005-0000-0000-0000F70E0000}"/>
    <cellStyle name="40% - Accent6 2 2 3 3 4" xfId="5127" xr:uid="{00000000-0005-0000-0000-0000F80E0000}"/>
    <cellStyle name="40% - Accent6 2 2 3 4" xfId="1710" xr:uid="{00000000-0005-0000-0000-0000F90E0000}"/>
    <cellStyle name="40% - Accent6 2 2 3 5" xfId="2988" xr:uid="{00000000-0005-0000-0000-0000FA0E0000}"/>
    <cellStyle name="40% - Accent6 2 2 3 6" xfId="4275" xr:uid="{00000000-0005-0000-0000-0000FB0E0000}"/>
    <cellStyle name="40% - Accent6 2 2 4" xfId="631" xr:uid="{00000000-0005-0000-0000-0000FC0E0000}"/>
    <cellStyle name="40% - Accent6 2 2 4 2" xfId="1923" xr:uid="{00000000-0005-0000-0000-0000FD0E0000}"/>
    <cellStyle name="40% - Accent6 2 2 4 3" xfId="3201" xr:uid="{00000000-0005-0000-0000-0000FE0E0000}"/>
    <cellStyle name="40% - Accent6 2 2 4 4" xfId="4488" xr:uid="{00000000-0005-0000-0000-0000FF0E0000}"/>
    <cellStyle name="40% - Accent6 2 2 5" xfId="1057" xr:uid="{00000000-0005-0000-0000-0000000F0000}"/>
    <cellStyle name="40% - Accent6 2 2 5 2" xfId="2349" xr:uid="{00000000-0005-0000-0000-0000010F0000}"/>
    <cellStyle name="40% - Accent6 2 2 5 3" xfId="3627" xr:uid="{00000000-0005-0000-0000-0000020F0000}"/>
    <cellStyle name="40% - Accent6 2 2 5 4" xfId="4914" xr:uid="{00000000-0005-0000-0000-0000030F0000}"/>
    <cellStyle name="40% - Accent6 2 2 6" xfId="1497" xr:uid="{00000000-0005-0000-0000-0000040F0000}"/>
    <cellStyle name="40% - Accent6 2 2 7" xfId="2775" xr:uid="{00000000-0005-0000-0000-0000050F0000}"/>
    <cellStyle name="40% - Accent6 2 2 8" xfId="4062" xr:uid="{00000000-0005-0000-0000-0000060F0000}"/>
    <cellStyle name="40% - Accent6 2 2 9" xfId="5296" xr:uid="{00000000-0005-0000-0000-0000070F0000}"/>
    <cellStyle name="40% - Accent6 2 3" xfId="195" xr:uid="{00000000-0005-0000-0000-0000080F0000}"/>
    <cellStyle name="40% - Accent6 2 3 2" xfId="420" xr:uid="{00000000-0005-0000-0000-0000090F0000}"/>
    <cellStyle name="40% - Accent6 2 3 2 2" xfId="846" xr:uid="{00000000-0005-0000-0000-00000A0F0000}"/>
    <cellStyle name="40% - Accent6 2 3 2 2 2" xfId="2138" xr:uid="{00000000-0005-0000-0000-00000B0F0000}"/>
    <cellStyle name="40% - Accent6 2 3 2 2 3" xfId="3416" xr:uid="{00000000-0005-0000-0000-00000C0F0000}"/>
    <cellStyle name="40% - Accent6 2 3 2 2 4" xfId="4703" xr:uid="{00000000-0005-0000-0000-00000D0F0000}"/>
    <cellStyle name="40% - Accent6 2 3 2 3" xfId="1272" xr:uid="{00000000-0005-0000-0000-00000E0F0000}"/>
    <cellStyle name="40% - Accent6 2 3 2 3 2" xfId="2564" xr:uid="{00000000-0005-0000-0000-00000F0F0000}"/>
    <cellStyle name="40% - Accent6 2 3 2 3 3" xfId="3842" xr:uid="{00000000-0005-0000-0000-0000100F0000}"/>
    <cellStyle name="40% - Accent6 2 3 2 3 4" xfId="5129" xr:uid="{00000000-0005-0000-0000-0000110F0000}"/>
    <cellStyle name="40% - Accent6 2 3 2 4" xfId="1712" xr:uid="{00000000-0005-0000-0000-0000120F0000}"/>
    <cellStyle name="40% - Accent6 2 3 2 5" xfId="2990" xr:uid="{00000000-0005-0000-0000-0000130F0000}"/>
    <cellStyle name="40% - Accent6 2 3 2 6" xfId="4277" xr:uid="{00000000-0005-0000-0000-0000140F0000}"/>
    <cellStyle name="40% - Accent6 2 3 3" xfId="633" xr:uid="{00000000-0005-0000-0000-0000150F0000}"/>
    <cellStyle name="40% - Accent6 2 3 3 2" xfId="1925" xr:uid="{00000000-0005-0000-0000-0000160F0000}"/>
    <cellStyle name="40% - Accent6 2 3 3 3" xfId="3203" xr:uid="{00000000-0005-0000-0000-0000170F0000}"/>
    <cellStyle name="40% - Accent6 2 3 3 4" xfId="4490" xr:uid="{00000000-0005-0000-0000-0000180F0000}"/>
    <cellStyle name="40% - Accent6 2 3 4" xfId="1059" xr:uid="{00000000-0005-0000-0000-0000190F0000}"/>
    <cellStyle name="40% - Accent6 2 3 4 2" xfId="2351" xr:uid="{00000000-0005-0000-0000-00001A0F0000}"/>
    <cellStyle name="40% - Accent6 2 3 4 3" xfId="3629" xr:uid="{00000000-0005-0000-0000-00001B0F0000}"/>
    <cellStyle name="40% - Accent6 2 3 4 4" xfId="4916" xr:uid="{00000000-0005-0000-0000-00001C0F0000}"/>
    <cellStyle name="40% - Accent6 2 3 5" xfId="1499" xr:uid="{00000000-0005-0000-0000-00001D0F0000}"/>
    <cellStyle name="40% - Accent6 2 3 6" xfId="2777" xr:uid="{00000000-0005-0000-0000-00001E0F0000}"/>
    <cellStyle name="40% - Accent6 2 3 7" xfId="4064" xr:uid="{00000000-0005-0000-0000-00001F0F0000}"/>
    <cellStyle name="40% - Accent6 2 3 8" xfId="5298" xr:uid="{00000000-0005-0000-0000-0000200F0000}"/>
    <cellStyle name="40% - Accent6 2 4" xfId="196" xr:uid="{00000000-0005-0000-0000-0000210F0000}"/>
    <cellStyle name="40% - Accent6 2 4 2" xfId="421" xr:uid="{00000000-0005-0000-0000-0000220F0000}"/>
    <cellStyle name="40% - Accent6 2 4 2 2" xfId="847" xr:uid="{00000000-0005-0000-0000-0000230F0000}"/>
    <cellStyle name="40% - Accent6 2 4 2 2 2" xfId="2139" xr:uid="{00000000-0005-0000-0000-0000240F0000}"/>
    <cellStyle name="40% - Accent6 2 4 2 2 3" xfId="3417" xr:uid="{00000000-0005-0000-0000-0000250F0000}"/>
    <cellStyle name="40% - Accent6 2 4 2 2 4" xfId="4704" xr:uid="{00000000-0005-0000-0000-0000260F0000}"/>
    <cellStyle name="40% - Accent6 2 4 2 3" xfId="1273" xr:uid="{00000000-0005-0000-0000-0000270F0000}"/>
    <cellStyle name="40% - Accent6 2 4 2 3 2" xfId="2565" xr:uid="{00000000-0005-0000-0000-0000280F0000}"/>
    <cellStyle name="40% - Accent6 2 4 2 3 3" xfId="3843" xr:uid="{00000000-0005-0000-0000-0000290F0000}"/>
    <cellStyle name="40% - Accent6 2 4 2 3 4" xfId="5130" xr:uid="{00000000-0005-0000-0000-00002A0F0000}"/>
    <cellStyle name="40% - Accent6 2 4 2 4" xfId="1713" xr:uid="{00000000-0005-0000-0000-00002B0F0000}"/>
    <cellStyle name="40% - Accent6 2 4 2 5" xfId="2991" xr:uid="{00000000-0005-0000-0000-00002C0F0000}"/>
    <cellStyle name="40% - Accent6 2 4 2 6" xfId="4278" xr:uid="{00000000-0005-0000-0000-00002D0F0000}"/>
    <cellStyle name="40% - Accent6 2 4 3" xfId="634" xr:uid="{00000000-0005-0000-0000-00002E0F0000}"/>
    <cellStyle name="40% - Accent6 2 4 3 2" xfId="1926" xr:uid="{00000000-0005-0000-0000-00002F0F0000}"/>
    <cellStyle name="40% - Accent6 2 4 3 3" xfId="3204" xr:uid="{00000000-0005-0000-0000-0000300F0000}"/>
    <cellStyle name="40% - Accent6 2 4 3 4" xfId="4491" xr:uid="{00000000-0005-0000-0000-0000310F0000}"/>
    <cellStyle name="40% - Accent6 2 4 4" xfId="1060" xr:uid="{00000000-0005-0000-0000-0000320F0000}"/>
    <cellStyle name="40% - Accent6 2 4 4 2" xfId="2352" xr:uid="{00000000-0005-0000-0000-0000330F0000}"/>
    <cellStyle name="40% - Accent6 2 4 4 3" xfId="3630" xr:uid="{00000000-0005-0000-0000-0000340F0000}"/>
    <cellStyle name="40% - Accent6 2 4 4 4" xfId="4917" xr:uid="{00000000-0005-0000-0000-0000350F0000}"/>
    <cellStyle name="40% - Accent6 2 4 5" xfId="1500" xr:uid="{00000000-0005-0000-0000-0000360F0000}"/>
    <cellStyle name="40% - Accent6 2 4 6" xfId="2778" xr:uid="{00000000-0005-0000-0000-0000370F0000}"/>
    <cellStyle name="40% - Accent6 2 4 7" xfId="4065" xr:uid="{00000000-0005-0000-0000-0000380F0000}"/>
    <cellStyle name="40% - Accent6 2 5" xfId="197" xr:uid="{00000000-0005-0000-0000-0000390F0000}"/>
    <cellStyle name="40% - Accent6 2 5 2" xfId="422" xr:uid="{00000000-0005-0000-0000-00003A0F0000}"/>
    <cellStyle name="40% - Accent6 2 5 2 2" xfId="848" xr:uid="{00000000-0005-0000-0000-00003B0F0000}"/>
    <cellStyle name="40% - Accent6 2 5 2 2 2" xfId="2140" xr:uid="{00000000-0005-0000-0000-00003C0F0000}"/>
    <cellStyle name="40% - Accent6 2 5 2 2 3" xfId="3418" xr:uid="{00000000-0005-0000-0000-00003D0F0000}"/>
    <cellStyle name="40% - Accent6 2 5 2 2 4" xfId="4705" xr:uid="{00000000-0005-0000-0000-00003E0F0000}"/>
    <cellStyle name="40% - Accent6 2 5 2 3" xfId="1274" xr:uid="{00000000-0005-0000-0000-00003F0F0000}"/>
    <cellStyle name="40% - Accent6 2 5 2 3 2" xfId="2566" xr:uid="{00000000-0005-0000-0000-0000400F0000}"/>
    <cellStyle name="40% - Accent6 2 5 2 3 3" xfId="3844" xr:uid="{00000000-0005-0000-0000-0000410F0000}"/>
    <cellStyle name="40% - Accent6 2 5 2 3 4" xfId="5131" xr:uid="{00000000-0005-0000-0000-0000420F0000}"/>
    <cellStyle name="40% - Accent6 2 5 2 4" xfId="1714" xr:uid="{00000000-0005-0000-0000-0000430F0000}"/>
    <cellStyle name="40% - Accent6 2 5 2 5" xfId="2992" xr:uid="{00000000-0005-0000-0000-0000440F0000}"/>
    <cellStyle name="40% - Accent6 2 5 2 6" xfId="4279" xr:uid="{00000000-0005-0000-0000-0000450F0000}"/>
    <cellStyle name="40% - Accent6 2 5 3" xfId="635" xr:uid="{00000000-0005-0000-0000-0000460F0000}"/>
    <cellStyle name="40% - Accent6 2 5 3 2" xfId="1927" xr:uid="{00000000-0005-0000-0000-0000470F0000}"/>
    <cellStyle name="40% - Accent6 2 5 3 3" xfId="3205" xr:uid="{00000000-0005-0000-0000-0000480F0000}"/>
    <cellStyle name="40% - Accent6 2 5 3 4" xfId="4492" xr:uid="{00000000-0005-0000-0000-0000490F0000}"/>
    <cellStyle name="40% - Accent6 2 5 4" xfId="1061" xr:uid="{00000000-0005-0000-0000-00004A0F0000}"/>
    <cellStyle name="40% - Accent6 2 5 4 2" xfId="2353" xr:uid="{00000000-0005-0000-0000-00004B0F0000}"/>
    <cellStyle name="40% - Accent6 2 5 4 3" xfId="3631" xr:uid="{00000000-0005-0000-0000-00004C0F0000}"/>
    <cellStyle name="40% - Accent6 2 5 4 4" xfId="4918" xr:uid="{00000000-0005-0000-0000-00004D0F0000}"/>
    <cellStyle name="40% - Accent6 2 5 5" xfId="1501" xr:uid="{00000000-0005-0000-0000-00004E0F0000}"/>
    <cellStyle name="40% - Accent6 2 5 6" xfId="2779" xr:uid="{00000000-0005-0000-0000-00004F0F0000}"/>
    <cellStyle name="40% - Accent6 2 5 7" xfId="4066" xr:uid="{00000000-0005-0000-0000-0000500F0000}"/>
    <cellStyle name="40% - Accent6 2 6" xfId="280" xr:uid="{00000000-0005-0000-0000-0000510F0000}"/>
    <cellStyle name="40% - Accent6 2 6 2" xfId="493" xr:uid="{00000000-0005-0000-0000-0000520F0000}"/>
    <cellStyle name="40% - Accent6 2 6 2 2" xfId="918" xr:uid="{00000000-0005-0000-0000-0000530F0000}"/>
    <cellStyle name="40% - Accent6 2 6 2 2 2" xfId="2210" xr:uid="{00000000-0005-0000-0000-0000540F0000}"/>
    <cellStyle name="40% - Accent6 2 6 2 2 3" xfId="3488" xr:uid="{00000000-0005-0000-0000-0000550F0000}"/>
    <cellStyle name="40% - Accent6 2 6 2 2 4" xfId="4775" xr:uid="{00000000-0005-0000-0000-0000560F0000}"/>
    <cellStyle name="40% - Accent6 2 6 2 3" xfId="1344" xr:uid="{00000000-0005-0000-0000-0000570F0000}"/>
    <cellStyle name="40% - Accent6 2 6 2 3 2" xfId="2636" xr:uid="{00000000-0005-0000-0000-0000580F0000}"/>
    <cellStyle name="40% - Accent6 2 6 2 3 3" xfId="3914" xr:uid="{00000000-0005-0000-0000-0000590F0000}"/>
    <cellStyle name="40% - Accent6 2 6 2 3 4" xfId="5201" xr:uid="{00000000-0005-0000-0000-00005A0F0000}"/>
    <cellStyle name="40% - Accent6 2 6 2 4" xfId="1784" xr:uid="{00000000-0005-0000-0000-00005B0F0000}"/>
    <cellStyle name="40% - Accent6 2 6 2 5" xfId="3062" xr:uid="{00000000-0005-0000-0000-00005C0F0000}"/>
    <cellStyle name="40% - Accent6 2 6 2 6" xfId="4349" xr:uid="{00000000-0005-0000-0000-00005D0F0000}"/>
    <cellStyle name="40% - Accent6 2 6 3" xfId="705" xr:uid="{00000000-0005-0000-0000-00005E0F0000}"/>
    <cellStyle name="40% - Accent6 2 6 3 2" xfId="1997" xr:uid="{00000000-0005-0000-0000-00005F0F0000}"/>
    <cellStyle name="40% - Accent6 2 6 3 3" xfId="3275" xr:uid="{00000000-0005-0000-0000-0000600F0000}"/>
    <cellStyle name="40% - Accent6 2 6 3 4" xfId="4562" xr:uid="{00000000-0005-0000-0000-0000610F0000}"/>
    <cellStyle name="40% - Accent6 2 6 4" xfId="1131" xr:uid="{00000000-0005-0000-0000-0000620F0000}"/>
    <cellStyle name="40% - Accent6 2 6 4 2" xfId="2423" xr:uid="{00000000-0005-0000-0000-0000630F0000}"/>
    <cellStyle name="40% - Accent6 2 6 4 3" xfId="3701" xr:uid="{00000000-0005-0000-0000-0000640F0000}"/>
    <cellStyle name="40% - Accent6 2 6 4 4" xfId="4988" xr:uid="{00000000-0005-0000-0000-0000650F0000}"/>
    <cellStyle name="40% - Accent6 2 6 5" xfId="1571" xr:uid="{00000000-0005-0000-0000-0000660F0000}"/>
    <cellStyle name="40% - Accent6 2 6 6" xfId="2849" xr:uid="{00000000-0005-0000-0000-0000670F0000}"/>
    <cellStyle name="40% - Accent6 2 6 7" xfId="4136" xr:uid="{00000000-0005-0000-0000-0000680F0000}"/>
    <cellStyle name="40% - Accent6 2 7" xfId="417" xr:uid="{00000000-0005-0000-0000-0000690F0000}"/>
    <cellStyle name="40% - Accent6 2 7 2" xfId="843" xr:uid="{00000000-0005-0000-0000-00006A0F0000}"/>
    <cellStyle name="40% - Accent6 2 7 2 2" xfId="2135" xr:uid="{00000000-0005-0000-0000-00006B0F0000}"/>
    <cellStyle name="40% - Accent6 2 7 2 3" xfId="3413" xr:uid="{00000000-0005-0000-0000-00006C0F0000}"/>
    <cellStyle name="40% - Accent6 2 7 2 4" xfId="4700" xr:uid="{00000000-0005-0000-0000-00006D0F0000}"/>
    <cellStyle name="40% - Accent6 2 7 3" xfId="1269" xr:uid="{00000000-0005-0000-0000-00006E0F0000}"/>
    <cellStyle name="40% - Accent6 2 7 3 2" xfId="2561" xr:uid="{00000000-0005-0000-0000-00006F0F0000}"/>
    <cellStyle name="40% - Accent6 2 7 3 3" xfId="3839" xr:uid="{00000000-0005-0000-0000-0000700F0000}"/>
    <cellStyle name="40% - Accent6 2 7 3 4" xfId="5126" xr:uid="{00000000-0005-0000-0000-0000710F0000}"/>
    <cellStyle name="40% - Accent6 2 7 4" xfId="1709" xr:uid="{00000000-0005-0000-0000-0000720F0000}"/>
    <cellStyle name="40% - Accent6 2 7 5" xfId="2987" xr:uid="{00000000-0005-0000-0000-0000730F0000}"/>
    <cellStyle name="40% - Accent6 2 7 6" xfId="4274" xr:uid="{00000000-0005-0000-0000-0000740F0000}"/>
    <cellStyle name="40% - Accent6 2 8" xfId="630" xr:uid="{00000000-0005-0000-0000-0000750F0000}"/>
    <cellStyle name="40% - Accent6 2 8 2" xfId="1922" xr:uid="{00000000-0005-0000-0000-0000760F0000}"/>
    <cellStyle name="40% - Accent6 2 8 3" xfId="3200" xr:uid="{00000000-0005-0000-0000-0000770F0000}"/>
    <cellStyle name="40% - Accent6 2 8 4" xfId="4487" xr:uid="{00000000-0005-0000-0000-0000780F0000}"/>
    <cellStyle name="40% - Accent6 2 9" xfId="1056" xr:uid="{00000000-0005-0000-0000-0000790F0000}"/>
    <cellStyle name="40% - Accent6 2 9 2" xfId="2348" xr:uid="{00000000-0005-0000-0000-00007A0F0000}"/>
    <cellStyle name="40% - Accent6 2 9 3" xfId="3626" xr:uid="{00000000-0005-0000-0000-00007B0F0000}"/>
    <cellStyle name="40% - Accent6 2 9 4" xfId="4913" xr:uid="{00000000-0005-0000-0000-00007C0F0000}"/>
    <cellStyle name="40% - Accent6 3" xfId="198" xr:uid="{00000000-0005-0000-0000-00007D0F0000}"/>
    <cellStyle name="40% - Accent6 3 2" xfId="199" xr:uid="{00000000-0005-0000-0000-00007E0F0000}"/>
    <cellStyle name="40% - Accent6 3 2 2" xfId="424" xr:uid="{00000000-0005-0000-0000-00007F0F0000}"/>
    <cellStyle name="40% - Accent6 3 2 2 2" xfId="850" xr:uid="{00000000-0005-0000-0000-0000800F0000}"/>
    <cellStyle name="40% - Accent6 3 2 2 2 2" xfId="2142" xr:uid="{00000000-0005-0000-0000-0000810F0000}"/>
    <cellStyle name="40% - Accent6 3 2 2 2 3" xfId="3420" xr:uid="{00000000-0005-0000-0000-0000820F0000}"/>
    <cellStyle name="40% - Accent6 3 2 2 2 4" xfId="4707" xr:uid="{00000000-0005-0000-0000-0000830F0000}"/>
    <cellStyle name="40% - Accent6 3 2 2 3" xfId="1276" xr:uid="{00000000-0005-0000-0000-0000840F0000}"/>
    <cellStyle name="40% - Accent6 3 2 2 3 2" xfId="2568" xr:uid="{00000000-0005-0000-0000-0000850F0000}"/>
    <cellStyle name="40% - Accent6 3 2 2 3 3" xfId="3846" xr:uid="{00000000-0005-0000-0000-0000860F0000}"/>
    <cellStyle name="40% - Accent6 3 2 2 3 4" xfId="5133" xr:uid="{00000000-0005-0000-0000-0000870F0000}"/>
    <cellStyle name="40% - Accent6 3 2 2 4" xfId="1716" xr:uid="{00000000-0005-0000-0000-0000880F0000}"/>
    <cellStyle name="40% - Accent6 3 2 2 5" xfId="2994" xr:uid="{00000000-0005-0000-0000-0000890F0000}"/>
    <cellStyle name="40% - Accent6 3 2 2 6" xfId="4281" xr:uid="{00000000-0005-0000-0000-00008A0F0000}"/>
    <cellStyle name="40% - Accent6 3 2 3" xfId="637" xr:uid="{00000000-0005-0000-0000-00008B0F0000}"/>
    <cellStyle name="40% - Accent6 3 2 3 2" xfId="1929" xr:uid="{00000000-0005-0000-0000-00008C0F0000}"/>
    <cellStyle name="40% - Accent6 3 2 3 3" xfId="3207" xr:uid="{00000000-0005-0000-0000-00008D0F0000}"/>
    <cellStyle name="40% - Accent6 3 2 3 4" xfId="4494" xr:uid="{00000000-0005-0000-0000-00008E0F0000}"/>
    <cellStyle name="40% - Accent6 3 2 4" xfId="1063" xr:uid="{00000000-0005-0000-0000-00008F0F0000}"/>
    <cellStyle name="40% - Accent6 3 2 4 2" xfId="2355" xr:uid="{00000000-0005-0000-0000-0000900F0000}"/>
    <cellStyle name="40% - Accent6 3 2 4 3" xfId="3633" xr:uid="{00000000-0005-0000-0000-0000910F0000}"/>
    <cellStyle name="40% - Accent6 3 2 4 4" xfId="4920" xr:uid="{00000000-0005-0000-0000-0000920F0000}"/>
    <cellStyle name="40% - Accent6 3 2 5" xfId="1503" xr:uid="{00000000-0005-0000-0000-0000930F0000}"/>
    <cellStyle name="40% - Accent6 3 2 6" xfId="2781" xr:uid="{00000000-0005-0000-0000-0000940F0000}"/>
    <cellStyle name="40% - Accent6 3 2 7" xfId="4068" xr:uid="{00000000-0005-0000-0000-0000950F0000}"/>
    <cellStyle name="40% - Accent6 3 2 8" xfId="5300" xr:uid="{00000000-0005-0000-0000-0000960F0000}"/>
    <cellStyle name="40% - Accent6 3 3" xfId="423" xr:uid="{00000000-0005-0000-0000-0000970F0000}"/>
    <cellStyle name="40% - Accent6 3 3 2" xfId="849" xr:uid="{00000000-0005-0000-0000-0000980F0000}"/>
    <cellStyle name="40% - Accent6 3 3 2 2" xfId="2141" xr:uid="{00000000-0005-0000-0000-0000990F0000}"/>
    <cellStyle name="40% - Accent6 3 3 2 3" xfId="3419" xr:uid="{00000000-0005-0000-0000-00009A0F0000}"/>
    <cellStyle name="40% - Accent6 3 3 2 4" xfId="4706" xr:uid="{00000000-0005-0000-0000-00009B0F0000}"/>
    <cellStyle name="40% - Accent6 3 3 3" xfId="1275" xr:uid="{00000000-0005-0000-0000-00009C0F0000}"/>
    <cellStyle name="40% - Accent6 3 3 3 2" xfId="2567" xr:uid="{00000000-0005-0000-0000-00009D0F0000}"/>
    <cellStyle name="40% - Accent6 3 3 3 3" xfId="3845" xr:uid="{00000000-0005-0000-0000-00009E0F0000}"/>
    <cellStyle name="40% - Accent6 3 3 3 4" xfId="5132" xr:uid="{00000000-0005-0000-0000-00009F0F0000}"/>
    <cellStyle name="40% - Accent6 3 3 4" xfId="1715" xr:uid="{00000000-0005-0000-0000-0000A00F0000}"/>
    <cellStyle name="40% - Accent6 3 3 5" xfId="2993" xr:uid="{00000000-0005-0000-0000-0000A10F0000}"/>
    <cellStyle name="40% - Accent6 3 3 6" xfId="4280" xr:uid="{00000000-0005-0000-0000-0000A20F0000}"/>
    <cellStyle name="40% - Accent6 3 4" xfId="636" xr:uid="{00000000-0005-0000-0000-0000A30F0000}"/>
    <cellStyle name="40% - Accent6 3 4 2" xfId="1928" xr:uid="{00000000-0005-0000-0000-0000A40F0000}"/>
    <cellStyle name="40% - Accent6 3 4 3" xfId="3206" xr:uid="{00000000-0005-0000-0000-0000A50F0000}"/>
    <cellStyle name="40% - Accent6 3 4 4" xfId="4493" xr:uid="{00000000-0005-0000-0000-0000A60F0000}"/>
    <cellStyle name="40% - Accent6 3 5" xfId="1062" xr:uid="{00000000-0005-0000-0000-0000A70F0000}"/>
    <cellStyle name="40% - Accent6 3 5 2" xfId="2354" xr:uid="{00000000-0005-0000-0000-0000A80F0000}"/>
    <cellStyle name="40% - Accent6 3 5 3" xfId="3632" xr:uid="{00000000-0005-0000-0000-0000A90F0000}"/>
    <cellStyle name="40% - Accent6 3 5 4" xfId="4919" xr:uid="{00000000-0005-0000-0000-0000AA0F0000}"/>
    <cellStyle name="40% - Accent6 3 6" xfId="1502" xr:uid="{00000000-0005-0000-0000-0000AB0F0000}"/>
    <cellStyle name="40% - Accent6 3 7" xfId="2780" xr:uid="{00000000-0005-0000-0000-0000AC0F0000}"/>
    <cellStyle name="40% - Accent6 3 8" xfId="4067" xr:uid="{00000000-0005-0000-0000-0000AD0F0000}"/>
    <cellStyle name="40% - Accent6 3 9" xfId="5299" xr:uid="{00000000-0005-0000-0000-0000AE0F0000}"/>
    <cellStyle name="40% - Accent6 4" xfId="200" xr:uid="{00000000-0005-0000-0000-0000AF0F0000}"/>
    <cellStyle name="40% - Accent6 4 2" xfId="425" xr:uid="{00000000-0005-0000-0000-0000B00F0000}"/>
    <cellStyle name="40% - Accent6 4 2 2" xfId="851" xr:uid="{00000000-0005-0000-0000-0000B10F0000}"/>
    <cellStyle name="40% - Accent6 4 2 2 2" xfId="2143" xr:uid="{00000000-0005-0000-0000-0000B20F0000}"/>
    <cellStyle name="40% - Accent6 4 2 2 3" xfId="3421" xr:uid="{00000000-0005-0000-0000-0000B30F0000}"/>
    <cellStyle name="40% - Accent6 4 2 2 4" xfId="4708" xr:uid="{00000000-0005-0000-0000-0000B40F0000}"/>
    <cellStyle name="40% - Accent6 4 2 3" xfId="1277" xr:uid="{00000000-0005-0000-0000-0000B50F0000}"/>
    <cellStyle name="40% - Accent6 4 2 3 2" xfId="2569" xr:uid="{00000000-0005-0000-0000-0000B60F0000}"/>
    <cellStyle name="40% - Accent6 4 2 3 3" xfId="3847" xr:uid="{00000000-0005-0000-0000-0000B70F0000}"/>
    <cellStyle name="40% - Accent6 4 2 3 4" xfId="5134" xr:uid="{00000000-0005-0000-0000-0000B80F0000}"/>
    <cellStyle name="40% - Accent6 4 2 4" xfId="1717" xr:uid="{00000000-0005-0000-0000-0000B90F0000}"/>
    <cellStyle name="40% - Accent6 4 2 5" xfId="2995" xr:uid="{00000000-0005-0000-0000-0000BA0F0000}"/>
    <cellStyle name="40% - Accent6 4 2 6" xfId="4282" xr:uid="{00000000-0005-0000-0000-0000BB0F0000}"/>
    <cellStyle name="40% - Accent6 4 3" xfId="638" xr:uid="{00000000-0005-0000-0000-0000BC0F0000}"/>
    <cellStyle name="40% - Accent6 4 3 2" xfId="1930" xr:uid="{00000000-0005-0000-0000-0000BD0F0000}"/>
    <cellStyle name="40% - Accent6 4 3 3" xfId="3208" xr:uid="{00000000-0005-0000-0000-0000BE0F0000}"/>
    <cellStyle name="40% - Accent6 4 3 4" xfId="4495" xr:uid="{00000000-0005-0000-0000-0000BF0F0000}"/>
    <cellStyle name="40% - Accent6 4 4" xfId="1064" xr:uid="{00000000-0005-0000-0000-0000C00F0000}"/>
    <cellStyle name="40% - Accent6 4 4 2" xfId="2356" xr:uid="{00000000-0005-0000-0000-0000C10F0000}"/>
    <cellStyle name="40% - Accent6 4 4 3" xfId="3634" xr:uid="{00000000-0005-0000-0000-0000C20F0000}"/>
    <cellStyle name="40% - Accent6 4 4 4" xfId="4921" xr:uid="{00000000-0005-0000-0000-0000C30F0000}"/>
    <cellStyle name="40% - Accent6 4 5" xfId="1504" xr:uid="{00000000-0005-0000-0000-0000C40F0000}"/>
    <cellStyle name="40% - Accent6 4 6" xfId="2782" xr:uid="{00000000-0005-0000-0000-0000C50F0000}"/>
    <cellStyle name="40% - Accent6 4 7" xfId="4069" xr:uid="{00000000-0005-0000-0000-0000C60F0000}"/>
    <cellStyle name="40% - Accent6 4 8" xfId="5301" xr:uid="{00000000-0005-0000-0000-0000C70F0000}"/>
    <cellStyle name="40% - Accent6 5" xfId="201" xr:uid="{00000000-0005-0000-0000-0000C80F0000}"/>
    <cellStyle name="40% - Accent6 5 2" xfId="426" xr:uid="{00000000-0005-0000-0000-0000C90F0000}"/>
    <cellStyle name="40% - Accent6 5 2 2" xfId="852" xr:uid="{00000000-0005-0000-0000-0000CA0F0000}"/>
    <cellStyle name="40% - Accent6 5 2 2 2" xfId="2144" xr:uid="{00000000-0005-0000-0000-0000CB0F0000}"/>
    <cellStyle name="40% - Accent6 5 2 2 3" xfId="3422" xr:uid="{00000000-0005-0000-0000-0000CC0F0000}"/>
    <cellStyle name="40% - Accent6 5 2 2 4" xfId="4709" xr:uid="{00000000-0005-0000-0000-0000CD0F0000}"/>
    <cellStyle name="40% - Accent6 5 2 3" xfId="1278" xr:uid="{00000000-0005-0000-0000-0000CE0F0000}"/>
    <cellStyle name="40% - Accent6 5 2 3 2" xfId="2570" xr:uid="{00000000-0005-0000-0000-0000CF0F0000}"/>
    <cellStyle name="40% - Accent6 5 2 3 3" xfId="3848" xr:uid="{00000000-0005-0000-0000-0000D00F0000}"/>
    <cellStyle name="40% - Accent6 5 2 3 4" xfId="5135" xr:uid="{00000000-0005-0000-0000-0000D10F0000}"/>
    <cellStyle name="40% - Accent6 5 2 4" xfId="1718" xr:uid="{00000000-0005-0000-0000-0000D20F0000}"/>
    <cellStyle name="40% - Accent6 5 2 5" xfId="2996" xr:uid="{00000000-0005-0000-0000-0000D30F0000}"/>
    <cellStyle name="40% - Accent6 5 2 6" xfId="4283" xr:uid="{00000000-0005-0000-0000-0000D40F0000}"/>
    <cellStyle name="40% - Accent6 5 3" xfId="639" xr:uid="{00000000-0005-0000-0000-0000D50F0000}"/>
    <cellStyle name="40% - Accent6 5 3 2" xfId="1931" xr:uid="{00000000-0005-0000-0000-0000D60F0000}"/>
    <cellStyle name="40% - Accent6 5 3 3" xfId="3209" xr:uid="{00000000-0005-0000-0000-0000D70F0000}"/>
    <cellStyle name="40% - Accent6 5 3 4" xfId="4496" xr:uid="{00000000-0005-0000-0000-0000D80F0000}"/>
    <cellStyle name="40% - Accent6 5 4" xfId="1065" xr:uid="{00000000-0005-0000-0000-0000D90F0000}"/>
    <cellStyle name="40% - Accent6 5 4 2" xfId="2357" xr:uid="{00000000-0005-0000-0000-0000DA0F0000}"/>
    <cellStyle name="40% - Accent6 5 4 3" xfId="3635" xr:uid="{00000000-0005-0000-0000-0000DB0F0000}"/>
    <cellStyle name="40% - Accent6 5 4 4" xfId="4922" xr:uid="{00000000-0005-0000-0000-0000DC0F0000}"/>
    <cellStyle name="40% - Accent6 5 5" xfId="1505" xr:uid="{00000000-0005-0000-0000-0000DD0F0000}"/>
    <cellStyle name="40% - Accent6 5 6" xfId="2783" xr:uid="{00000000-0005-0000-0000-0000DE0F0000}"/>
    <cellStyle name="40% - Accent6 5 7" xfId="4070" xr:uid="{00000000-0005-0000-0000-0000DF0F0000}"/>
    <cellStyle name="40% - Accent6 6" xfId="202" xr:uid="{00000000-0005-0000-0000-0000E00F0000}"/>
    <cellStyle name="40% - Accent6 6 2" xfId="427" xr:uid="{00000000-0005-0000-0000-0000E10F0000}"/>
    <cellStyle name="40% - Accent6 6 2 2" xfId="853" xr:uid="{00000000-0005-0000-0000-0000E20F0000}"/>
    <cellStyle name="40% - Accent6 6 2 2 2" xfId="2145" xr:uid="{00000000-0005-0000-0000-0000E30F0000}"/>
    <cellStyle name="40% - Accent6 6 2 2 3" xfId="3423" xr:uid="{00000000-0005-0000-0000-0000E40F0000}"/>
    <cellStyle name="40% - Accent6 6 2 2 4" xfId="4710" xr:uid="{00000000-0005-0000-0000-0000E50F0000}"/>
    <cellStyle name="40% - Accent6 6 2 3" xfId="1279" xr:uid="{00000000-0005-0000-0000-0000E60F0000}"/>
    <cellStyle name="40% - Accent6 6 2 3 2" xfId="2571" xr:uid="{00000000-0005-0000-0000-0000E70F0000}"/>
    <cellStyle name="40% - Accent6 6 2 3 3" xfId="3849" xr:uid="{00000000-0005-0000-0000-0000E80F0000}"/>
    <cellStyle name="40% - Accent6 6 2 3 4" xfId="5136" xr:uid="{00000000-0005-0000-0000-0000E90F0000}"/>
    <cellStyle name="40% - Accent6 6 2 4" xfId="1719" xr:uid="{00000000-0005-0000-0000-0000EA0F0000}"/>
    <cellStyle name="40% - Accent6 6 2 5" xfId="2997" xr:uid="{00000000-0005-0000-0000-0000EB0F0000}"/>
    <cellStyle name="40% - Accent6 6 2 6" xfId="4284" xr:uid="{00000000-0005-0000-0000-0000EC0F0000}"/>
    <cellStyle name="40% - Accent6 6 3" xfId="640" xr:uid="{00000000-0005-0000-0000-0000ED0F0000}"/>
    <cellStyle name="40% - Accent6 6 3 2" xfId="1932" xr:uid="{00000000-0005-0000-0000-0000EE0F0000}"/>
    <cellStyle name="40% - Accent6 6 3 3" xfId="3210" xr:uid="{00000000-0005-0000-0000-0000EF0F0000}"/>
    <cellStyle name="40% - Accent6 6 3 4" xfId="4497" xr:uid="{00000000-0005-0000-0000-0000F00F0000}"/>
    <cellStyle name="40% - Accent6 6 4" xfId="1066" xr:uid="{00000000-0005-0000-0000-0000F10F0000}"/>
    <cellStyle name="40% - Accent6 6 4 2" xfId="2358" xr:uid="{00000000-0005-0000-0000-0000F20F0000}"/>
    <cellStyle name="40% - Accent6 6 4 3" xfId="3636" xr:uid="{00000000-0005-0000-0000-0000F30F0000}"/>
    <cellStyle name="40% - Accent6 6 4 4" xfId="4923" xr:uid="{00000000-0005-0000-0000-0000F40F0000}"/>
    <cellStyle name="40% - Accent6 6 5" xfId="1506" xr:uid="{00000000-0005-0000-0000-0000F50F0000}"/>
    <cellStyle name="40% - Accent6 6 6" xfId="2784" xr:uid="{00000000-0005-0000-0000-0000F60F0000}"/>
    <cellStyle name="40% - Accent6 6 7" xfId="4071" xr:uid="{00000000-0005-0000-0000-0000F70F0000}"/>
    <cellStyle name="40% - Accent6 7" xfId="265" xr:uid="{00000000-0005-0000-0000-0000F80F0000}"/>
    <cellStyle name="40% - Accent6 7 2" xfId="478" xr:uid="{00000000-0005-0000-0000-0000F90F0000}"/>
    <cellStyle name="40% - Accent6 7 2 2" xfId="903" xr:uid="{00000000-0005-0000-0000-0000FA0F0000}"/>
    <cellStyle name="40% - Accent6 7 2 2 2" xfId="2195" xr:uid="{00000000-0005-0000-0000-0000FB0F0000}"/>
    <cellStyle name="40% - Accent6 7 2 2 3" xfId="3473" xr:uid="{00000000-0005-0000-0000-0000FC0F0000}"/>
    <cellStyle name="40% - Accent6 7 2 2 4" xfId="4760" xr:uid="{00000000-0005-0000-0000-0000FD0F0000}"/>
    <cellStyle name="40% - Accent6 7 2 3" xfId="1329" xr:uid="{00000000-0005-0000-0000-0000FE0F0000}"/>
    <cellStyle name="40% - Accent6 7 2 3 2" xfId="2621" xr:uid="{00000000-0005-0000-0000-0000FF0F0000}"/>
    <cellStyle name="40% - Accent6 7 2 3 3" xfId="3899" xr:uid="{00000000-0005-0000-0000-000000100000}"/>
    <cellStyle name="40% - Accent6 7 2 3 4" xfId="5186" xr:uid="{00000000-0005-0000-0000-000001100000}"/>
    <cellStyle name="40% - Accent6 7 2 4" xfId="1769" xr:uid="{00000000-0005-0000-0000-000002100000}"/>
    <cellStyle name="40% - Accent6 7 2 5" xfId="3047" xr:uid="{00000000-0005-0000-0000-000003100000}"/>
    <cellStyle name="40% - Accent6 7 2 6" xfId="4334" xr:uid="{00000000-0005-0000-0000-000004100000}"/>
    <cellStyle name="40% - Accent6 7 3" xfId="690" xr:uid="{00000000-0005-0000-0000-000005100000}"/>
    <cellStyle name="40% - Accent6 7 3 2" xfId="1982" xr:uid="{00000000-0005-0000-0000-000006100000}"/>
    <cellStyle name="40% - Accent6 7 3 3" xfId="3260" xr:uid="{00000000-0005-0000-0000-000007100000}"/>
    <cellStyle name="40% - Accent6 7 3 4" xfId="4547" xr:uid="{00000000-0005-0000-0000-000008100000}"/>
    <cellStyle name="40% - Accent6 7 4" xfId="1116" xr:uid="{00000000-0005-0000-0000-000009100000}"/>
    <cellStyle name="40% - Accent6 7 4 2" xfId="2408" xr:uid="{00000000-0005-0000-0000-00000A100000}"/>
    <cellStyle name="40% - Accent6 7 4 3" xfId="3686" xr:uid="{00000000-0005-0000-0000-00000B100000}"/>
    <cellStyle name="40% - Accent6 7 4 4" xfId="4973" xr:uid="{00000000-0005-0000-0000-00000C100000}"/>
    <cellStyle name="40% - Accent6 7 5" xfId="1556" xr:uid="{00000000-0005-0000-0000-00000D100000}"/>
    <cellStyle name="40% - Accent6 7 6" xfId="2834" xr:uid="{00000000-0005-0000-0000-00000E100000}"/>
    <cellStyle name="40% - Accent6 7 7" xfId="4121" xr:uid="{00000000-0005-0000-0000-00000F100000}"/>
    <cellStyle name="40% - Accent6 8" xfId="416" xr:uid="{00000000-0005-0000-0000-000010100000}"/>
    <cellStyle name="40% - Accent6 8 2" xfId="842" xr:uid="{00000000-0005-0000-0000-000011100000}"/>
    <cellStyle name="40% - Accent6 8 2 2" xfId="2134" xr:uid="{00000000-0005-0000-0000-000012100000}"/>
    <cellStyle name="40% - Accent6 8 2 3" xfId="3412" xr:uid="{00000000-0005-0000-0000-000013100000}"/>
    <cellStyle name="40% - Accent6 8 2 4" xfId="4699" xr:uid="{00000000-0005-0000-0000-000014100000}"/>
    <cellStyle name="40% - Accent6 8 3" xfId="1268" xr:uid="{00000000-0005-0000-0000-000015100000}"/>
    <cellStyle name="40% - Accent6 8 3 2" xfId="2560" xr:uid="{00000000-0005-0000-0000-000016100000}"/>
    <cellStyle name="40% - Accent6 8 3 3" xfId="3838" xr:uid="{00000000-0005-0000-0000-000017100000}"/>
    <cellStyle name="40% - Accent6 8 3 4" xfId="5125" xr:uid="{00000000-0005-0000-0000-000018100000}"/>
    <cellStyle name="40% - Accent6 8 4" xfId="1708" xr:uid="{00000000-0005-0000-0000-000019100000}"/>
    <cellStyle name="40% - Accent6 8 5" xfId="2986" xr:uid="{00000000-0005-0000-0000-00001A100000}"/>
    <cellStyle name="40% - Accent6 8 6" xfId="4273" xr:uid="{00000000-0005-0000-0000-00001B100000}"/>
    <cellStyle name="40% - Accent6 9" xfId="629" xr:uid="{00000000-0005-0000-0000-00001C100000}"/>
    <cellStyle name="40% - Accent6 9 2" xfId="1921" xr:uid="{00000000-0005-0000-0000-00001D100000}"/>
    <cellStyle name="40% - Accent6 9 3" xfId="3199" xr:uid="{00000000-0005-0000-0000-00001E100000}"/>
    <cellStyle name="40% - Accent6 9 4" xfId="4486" xr:uid="{00000000-0005-0000-0000-00001F100000}"/>
    <cellStyle name="60% - Accent1" xfId="60" builtinId="32" customBuiltin="1"/>
    <cellStyle name="60% - Accent2" xfId="64" builtinId="36" customBuiltin="1"/>
    <cellStyle name="60% - Accent3" xfId="68" builtinId="40" customBuiltin="1"/>
    <cellStyle name="60% - Accent4" xfId="71" builtinId="44" customBuiltin="1"/>
    <cellStyle name="60% - Accent5" xfId="75" builtinId="48" customBuiltin="1"/>
    <cellStyle name="60% - Accent6" xfId="79" builtinId="52" customBuiltin="1"/>
    <cellStyle name="Accent1" xfId="57" builtinId="29" customBuiltin="1"/>
    <cellStyle name="Accent2" xfId="61" builtinId="33" customBuiltin="1"/>
    <cellStyle name="Accent3" xfId="65" builtinId="37" customBuiltin="1"/>
    <cellStyle name="Accent4" xfId="69" builtinId="41" customBuiltin="1"/>
    <cellStyle name="Accent5" xfId="72" builtinId="45" customBuiltin="1"/>
    <cellStyle name="Accent6" xfId="76" builtinId="49" customBuiltin="1"/>
    <cellStyle name="Bad" xfId="48" builtinId="27" customBuiltin="1"/>
    <cellStyle name="Calculation" xfId="51" builtinId="22" customBuiltin="1"/>
    <cellStyle name="Check Cell" xfId="53" builtinId="23" customBuiltin="1"/>
    <cellStyle name="Comma" xfId="9" builtinId="3"/>
    <cellStyle name="Comma 2" xfId="7" xr:uid="{00000000-0005-0000-0000-000030100000}"/>
    <cellStyle name="Comma 2 2" xfId="203" xr:uid="{00000000-0005-0000-0000-000031100000}"/>
    <cellStyle name="Comma 2 3" xfId="82" xr:uid="{00000000-0005-0000-0000-000032100000}"/>
    <cellStyle name="Comma 3" xfId="22" xr:uid="{00000000-0005-0000-0000-000033100000}"/>
    <cellStyle name="Comma 3 2" xfId="204" xr:uid="{00000000-0005-0000-0000-000034100000}"/>
    <cellStyle name="Comma 3 2 2" xfId="250" xr:uid="{00000000-0005-0000-0000-000035100000}"/>
    <cellStyle name="Comma 3 2 2 2" xfId="922" xr:uid="{00000000-0005-0000-0000-000036100000}"/>
    <cellStyle name="Comma 3 2 2 2 2" xfId="2214" xr:uid="{00000000-0005-0000-0000-000037100000}"/>
    <cellStyle name="Comma 3 2 2 2 3" xfId="3492" xr:uid="{00000000-0005-0000-0000-000038100000}"/>
    <cellStyle name="Comma 3 2 2 2 4" xfId="4779" xr:uid="{00000000-0005-0000-0000-000039100000}"/>
    <cellStyle name="Comma 3 2 2 3" xfId="1348" xr:uid="{00000000-0005-0000-0000-00003A100000}"/>
    <cellStyle name="Comma 3 2 2 3 2" xfId="2640" xr:uid="{00000000-0005-0000-0000-00003B100000}"/>
    <cellStyle name="Comma 3 2 2 3 3" xfId="3918" xr:uid="{00000000-0005-0000-0000-00003C100000}"/>
    <cellStyle name="Comma 3 2 2 3 4" xfId="5205" xr:uid="{00000000-0005-0000-0000-00003D100000}"/>
    <cellStyle name="Comma 3 2 2 4" xfId="1788" xr:uid="{00000000-0005-0000-0000-00003E100000}"/>
    <cellStyle name="Comma 3 2 2 5" xfId="3066" xr:uid="{00000000-0005-0000-0000-00003F100000}"/>
    <cellStyle name="Comma 3 2 2 6" xfId="4353" xr:uid="{00000000-0005-0000-0000-000040100000}"/>
    <cellStyle name="Comma 3 2 2 7" xfId="5333" xr:uid="{00000000-0005-0000-0000-000041100000}"/>
    <cellStyle name="Comma 3 2 3" xfId="709" xr:uid="{00000000-0005-0000-0000-000042100000}"/>
    <cellStyle name="Comma 3 2 3 2" xfId="2001" xr:uid="{00000000-0005-0000-0000-000043100000}"/>
    <cellStyle name="Comma 3 2 3 3" xfId="3279" xr:uid="{00000000-0005-0000-0000-000044100000}"/>
    <cellStyle name="Comma 3 2 3 4" xfId="4566" xr:uid="{00000000-0005-0000-0000-000045100000}"/>
    <cellStyle name="Comma 3 2 4" xfId="1135" xr:uid="{00000000-0005-0000-0000-000046100000}"/>
    <cellStyle name="Comma 3 2 4 2" xfId="2427" xr:uid="{00000000-0005-0000-0000-000047100000}"/>
    <cellStyle name="Comma 3 2 4 3" xfId="3705" xr:uid="{00000000-0005-0000-0000-000048100000}"/>
    <cellStyle name="Comma 3 2 4 4" xfId="4992" xr:uid="{00000000-0005-0000-0000-000049100000}"/>
    <cellStyle name="Comma 3 2 5" xfId="1575" xr:uid="{00000000-0005-0000-0000-00004A100000}"/>
    <cellStyle name="Comma 3 2 6" xfId="2853" xr:uid="{00000000-0005-0000-0000-00004B100000}"/>
    <cellStyle name="Comma 3 2 7" xfId="4140" xr:uid="{00000000-0005-0000-0000-00004C100000}"/>
    <cellStyle name="Comma 3 2 8" xfId="5332" xr:uid="{00000000-0005-0000-0000-00004D100000}"/>
    <cellStyle name="Comma 3 3" xfId="1358" xr:uid="{00000000-0005-0000-0000-00004E100000}"/>
    <cellStyle name="Comma 3 4" xfId="5302" xr:uid="{00000000-0005-0000-0000-00004F100000}"/>
    <cellStyle name="Comma 4" xfId="1355" xr:uid="{00000000-0005-0000-0000-000050100000}"/>
    <cellStyle name="Comma 5" xfId="1352" xr:uid="{00000000-0005-0000-0000-000051100000}"/>
    <cellStyle name="Comma 6" xfId="3926" xr:uid="{00000000-0005-0000-0000-000052100000}"/>
    <cellStyle name="Currency" xfId="1" builtinId="4"/>
    <cellStyle name="Currency 2" xfId="205" xr:uid="{00000000-0005-0000-0000-000054100000}"/>
    <cellStyle name="Currency 2 2" xfId="248" xr:uid="{00000000-0005-0000-0000-000055100000}"/>
    <cellStyle name="Currency 2 2 2" xfId="5303" xr:uid="{00000000-0005-0000-0000-000056100000}"/>
    <cellStyle name="Currency 3" xfId="1356" xr:uid="{00000000-0005-0000-0000-000057100000}"/>
    <cellStyle name="Explanatory Text" xfId="55" builtinId="53" customBuiltin="1"/>
    <cellStyle name="Good" xfId="47" builtinId="26" customBuiltin="1"/>
    <cellStyle name="Heading 1" xfId="43" builtinId="16" customBuiltin="1"/>
    <cellStyle name="Heading 2" xfId="44" builtinId="17" customBuiltin="1"/>
    <cellStyle name="Heading 3" xfId="45" builtinId="18" customBuiltin="1"/>
    <cellStyle name="Heading 4" xfId="46" builtinId="19" customBuiltin="1"/>
    <cellStyle name="Hyperlink" xfId="5" builtinId="8"/>
    <cellStyle name="Hyperlink 2" xfId="245" xr:uid="{00000000-0005-0000-0000-00005F100000}"/>
    <cellStyle name="Input" xfId="50" builtinId="20" customBuiltin="1"/>
    <cellStyle name="Linked Cell" xfId="52" builtinId="24" customBuiltin="1"/>
    <cellStyle name="Neutral" xfId="49" builtinId="28" customBuiltin="1"/>
    <cellStyle name="Normal" xfId="0" builtinId="0"/>
    <cellStyle name="Normal 10" xfId="1354" xr:uid="{00000000-0005-0000-0000-000064100000}"/>
    <cellStyle name="Normal 10 2" xfId="3924" xr:uid="{00000000-0005-0000-0000-000065100000}"/>
    <cellStyle name="Normal 11" xfId="1351" xr:uid="{00000000-0005-0000-0000-000066100000}"/>
    <cellStyle name="Normal 12" xfId="3919" xr:uid="{00000000-0005-0000-0000-000067100000}"/>
    <cellStyle name="Normal 12 2" xfId="3927" xr:uid="{00000000-0005-0000-0000-000068100000}"/>
    <cellStyle name="Normal 13" xfId="5338" xr:uid="{541B4E07-E577-46C8-B4B3-8F345E16E051}"/>
    <cellStyle name="Normal 2" xfId="6" xr:uid="{00000000-0005-0000-0000-000069100000}"/>
    <cellStyle name="Normal 2 2" xfId="23" xr:uid="{00000000-0005-0000-0000-00006A100000}"/>
    <cellStyle name="Normal 2 2 2 2 2" xfId="5336" xr:uid="{797D6A6C-4BE2-4D45-B3EC-12D696687133}"/>
    <cellStyle name="Normal 2 2 2 2 2 2" xfId="5337" xr:uid="{A3BD22F7-723C-4588-8494-5F5F8AB8FCB5}"/>
    <cellStyle name="Normal 2 2 2 2 3" xfId="5341" xr:uid="{3FCEF959-8EDD-4618-A6FE-76B7BFBC8F24}"/>
    <cellStyle name="Normal 2 3" xfId="24" xr:uid="{00000000-0005-0000-0000-00006B100000}"/>
    <cellStyle name="Normal 2 3 2" xfId="207" xr:uid="{00000000-0005-0000-0000-00006C100000}"/>
    <cellStyle name="Normal 2 4" xfId="25" xr:uid="{00000000-0005-0000-0000-00006D100000}"/>
    <cellStyle name="Normal 2 4 2" xfId="26" xr:uid="{00000000-0005-0000-0000-00006E100000}"/>
    <cellStyle name="Normal 2 4 3" xfId="3921" xr:uid="{00000000-0005-0000-0000-00006F100000}"/>
    <cellStyle name="Normal 2 5" xfId="27" xr:uid="{00000000-0005-0000-0000-000070100000}"/>
    <cellStyle name="Normal 2 5 2" xfId="28" xr:uid="{00000000-0005-0000-0000-000071100000}"/>
    <cellStyle name="Normal 2 6" xfId="29" xr:uid="{00000000-0005-0000-0000-000072100000}"/>
    <cellStyle name="Normal 2 7" xfId="206" xr:uid="{00000000-0005-0000-0000-000073100000}"/>
    <cellStyle name="Normal 2 8" xfId="81" xr:uid="{00000000-0005-0000-0000-000074100000}"/>
    <cellStyle name="Normal 2 9" xfId="3922" xr:uid="{00000000-0005-0000-0000-000075100000}"/>
    <cellStyle name="Normal 3" xfId="30" xr:uid="{00000000-0005-0000-0000-000076100000}"/>
    <cellStyle name="Normal 3 2" xfId="208" xr:uid="{00000000-0005-0000-0000-000077100000}"/>
    <cellStyle name="Normal 3 2 2" xfId="3923" xr:uid="{00000000-0005-0000-0000-000078100000}"/>
    <cellStyle name="Normal 3 2 3" xfId="5339" xr:uid="{19AD957C-B6FA-43FE-81C9-8B9546E71DAF}"/>
    <cellStyle name="Normal 3 3" xfId="3920" xr:uid="{00000000-0005-0000-0000-000079100000}"/>
    <cellStyle name="Normal 4" xfId="31" xr:uid="{00000000-0005-0000-0000-00007A100000}"/>
    <cellStyle name="Normal 4 2" xfId="246" xr:uid="{00000000-0005-0000-0000-00007B100000}"/>
    <cellStyle name="Normal 4 2 2" xfId="1359" xr:uid="{00000000-0005-0000-0000-00007C100000}"/>
    <cellStyle name="Normal 4 3" xfId="251" xr:uid="{00000000-0005-0000-0000-00007D100000}"/>
    <cellStyle name="Normal 4 3 2" xfId="1360" xr:uid="{00000000-0005-0000-0000-00007E100000}"/>
    <cellStyle name="Normal 4 4" xfId="252" xr:uid="{00000000-0005-0000-0000-00007F100000}"/>
    <cellStyle name="Normal 4 4 2" xfId="1362" xr:uid="{00000000-0005-0000-0000-000080100000}"/>
    <cellStyle name="Normal 4 5" xfId="1349" xr:uid="{00000000-0005-0000-0000-000081100000}"/>
    <cellStyle name="Normal 4 5 2" xfId="1350" xr:uid="{00000000-0005-0000-0000-000082100000}"/>
    <cellStyle name="Normal 4 6" xfId="3925" xr:uid="{00000000-0005-0000-0000-000083100000}"/>
    <cellStyle name="Normal 4 6 2" xfId="5334" xr:uid="{00000000-0005-0000-0000-000084100000}"/>
    <cellStyle name="Normal 5" xfId="32" xr:uid="{00000000-0005-0000-0000-000085100000}"/>
    <cellStyle name="Normal 5 2" xfId="5340" xr:uid="{E6088253-DF7C-4C6C-A382-A18E72199282}"/>
    <cellStyle name="Normal 6" xfId="33" xr:uid="{00000000-0005-0000-0000-000086100000}"/>
    <cellStyle name="Normal 6 2" xfId="209" xr:uid="{00000000-0005-0000-0000-000087100000}"/>
    <cellStyle name="Normal 7" xfId="34" xr:uid="{00000000-0005-0000-0000-000088100000}"/>
    <cellStyle name="Normal 7 10" xfId="428" xr:uid="{00000000-0005-0000-0000-000089100000}"/>
    <cellStyle name="Normal 7 10 2" xfId="854" xr:uid="{00000000-0005-0000-0000-00008A100000}"/>
    <cellStyle name="Normal 7 10 2 2" xfId="2146" xr:uid="{00000000-0005-0000-0000-00008B100000}"/>
    <cellStyle name="Normal 7 10 2 3" xfId="3424" xr:uid="{00000000-0005-0000-0000-00008C100000}"/>
    <cellStyle name="Normal 7 10 2 4" xfId="4711" xr:uid="{00000000-0005-0000-0000-00008D100000}"/>
    <cellStyle name="Normal 7 10 3" xfId="1280" xr:uid="{00000000-0005-0000-0000-00008E100000}"/>
    <cellStyle name="Normal 7 10 3 2" xfId="2572" xr:uid="{00000000-0005-0000-0000-00008F100000}"/>
    <cellStyle name="Normal 7 10 3 3" xfId="3850" xr:uid="{00000000-0005-0000-0000-000090100000}"/>
    <cellStyle name="Normal 7 10 3 4" xfId="5137" xr:uid="{00000000-0005-0000-0000-000091100000}"/>
    <cellStyle name="Normal 7 10 4" xfId="1720" xr:uid="{00000000-0005-0000-0000-000092100000}"/>
    <cellStyle name="Normal 7 10 5" xfId="2998" xr:uid="{00000000-0005-0000-0000-000093100000}"/>
    <cellStyle name="Normal 7 10 6" xfId="4285" xr:uid="{00000000-0005-0000-0000-000094100000}"/>
    <cellStyle name="Normal 7 11" xfId="641" xr:uid="{00000000-0005-0000-0000-000095100000}"/>
    <cellStyle name="Normal 7 11 2" xfId="1933" xr:uid="{00000000-0005-0000-0000-000096100000}"/>
    <cellStyle name="Normal 7 11 3" xfId="3211" xr:uid="{00000000-0005-0000-0000-000097100000}"/>
    <cellStyle name="Normal 7 11 4" xfId="4498" xr:uid="{00000000-0005-0000-0000-000098100000}"/>
    <cellStyle name="Normal 7 12" xfId="1067" xr:uid="{00000000-0005-0000-0000-000099100000}"/>
    <cellStyle name="Normal 7 12 2" xfId="2359" xr:uid="{00000000-0005-0000-0000-00009A100000}"/>
    <cellStyle name="Normal 7 12 3" xfId="3637" xr:uid="{00000000-0005-0000-0000-00009B100000}"/>
    <cellStyle name="Normal 7 12 4" xfId="4924" xr:uid="{00000000-0005-0000-0000-00009C100000}"/>
    <cellStyle name="Normal 7 13" xfId="1507" xr:uid="{00000000-0005-0000-0000-00009D100000}"/>
    <cellStyle name="Normal 7 14" xfId="2785" xr:uid="{00000000-0005-0000-0000-00009E100000}"/>
    <cellStyle name="Normal 7 15" xfId="4072" xr:uid="{00000000-0005-0000-0000-00009F100000}"/>
    <cellStyle name="Normal 7 16" xfId="5304" xr:uid="{00000000-0005-0000-0000-0000A0100000}"/>
    <cellStyle name="Normal 7 2" xfId="35" xr:uid="{00000000-0005-0000-0000-0000A1100000}"/>
    <cellStyle name="Normal 7 2 10" xfId="1508" xr:uid="{00000000-0005-0000-0000-0000A2100000}"/>
    <cellStyle name="Normal 7 2 11" xfId="2786" xr:uid="{00000000-0005-0000-0000-0000A3100000}"/>
    <cellStyle name="Normal 7 2 12" xfId="4073" xr:uid="{00000000-0005-0000-0000-0000A4100000}"/>
    <cellStyle name="Normal 7 2 13" xfId="5305" xr:uid="{00000000-0005-0000-0000-0000A5100000}"/>
    <cellStyle name="Normal 7 2 2" xfId="210" xr:uid="{00000000-0005-0000-0000-0000A6100000}"/>
    <cellStyle name="Normal 7 2 2 2" xfId="211" xr:uid="{00000000-0005-0000-0000-0000A7100000}"/>
    <cellStyle name="Normal 7 2 2 2 2" xfId="431" xr:uid="{00000000-0005-0000-0000-0000A8100000}"/>
    <cellStyle name="Normal 7 2 2 2 2 2" xfId="857" xr:uid="{00000000-0005-0000-0000-0000A9100000}"/>
    <cellStyle name="Normal 7 2 2 2 2 2 2" xfId="2149" xr:uid="{00000000-0005-0000-0000-0000AA100000}"/>
    <cellStyle name="Normal 7 2 2 2 2 2 3" xfId="3427" xr:uid="{00000000-0005-0000-0000-0000AB100000}"/>
    <cellStyle name="Normal 7 2 2 2 2 2 4" xfId="4714" xr:uid="{00000000-0005-0000-0000-0000AC100000}"/>
    <cellStyle name="Normal 7 2 2 2 2 3" xfId="1283" xr:uid="{00000000-0005-0000-0000-0000AD100000}"/>
    <cellStyle name="Normal 7 2 2 2 2 3 2" xfId="2575" xr:uid="{00000000-0005-0000-0000-0000AE100000}"/>
    <cellStyle name="Normal 7 2 2 2 2 3 3" xfId="3853" xr:uid="{00000000-0005-0000-0000-0000AF100000}"/>
    <cellStyle name="Normal 7 2 2 2 2 3 4" xfId="5140" xr:uid="{00000000-0005-0000-0000-0000B0100000}"/>
    <cellStyle name="Normal 7 2 2 2 2 4" xfId="1723" xr:uid="{00000000-0005-0000-0000-0000B1100000}"/>
    <cellStyle name="Normal 7 2 2 2 2 5" xfId="3001" xr:uid="{00000000-0005-0000-0000-0000B2100000}"/>
    <cellStyle name="Normal 7 2 2 2 2 6" xfId="4288" xr:uid="{00000000-0005-0000-0000-0000B3100000}"/>
    <cellStyle name="Normal 7 2 2 2 3" xfId="644" xr:uid="{00000000-0005-0000-0000-0000B4100000}"/>
    <cellStyle name="Normal 7 2 2 2 3 2" xfId="1936" xr:uid="{00000000-0005-0000-0000-0000B5100000}"/>
    <cellStyle name="Normal 7 2 2 2 3 3" xfId="3214" xr:uid="{00000000-0005-0000-0000-0000B6100000}"/>
    <cellStyle name="Normal 7 2 2 2 3 4" xfId="4501" xr:uid="{00000000-0005-0000-0000-0000B7100000}"/>
    <cellStyle name="Normal 7 2 2 2 4" xfId="1070" xr:uid="{00000000-0005-0000-0000-0000B8100000}"/>
    <cellStyle name="Normal 7 2 2 2 4 2" xfId="2362" xr:uid="{00000000-0005-0000-0000-0000B9100000}"/>
    <cellStyle name="Normal 7 2 2 2 4 3" xfId="3640" xr:uid="{00000000-0005-0000-0000-0000BA100000}"/>
    <cellStyle name="Normal 7 2 2 2 4 4" xfId="4927" xr:uid="{00000000-0005-0000-0000-0000BB100000}"/>
    <cellStyle name="Normal 7 2 2 2 5" xfId="1510" xr:uid="{00000000-0005-0000-0000-0000BC100000}"/>
    <cellStyle name="Normal 7 2 2 2 6" xfId="2788" xr:uid="{00000000-0005-0000-0000-0000BD100000}"/>
    <cellStyle name="Normal 7 2 2 2 7" xfId="4075" xr:uid="{00000000-0005-0000-0000-0000BE100000}"/>
    <cellStyle name="Normal 7 2 2 2 8" xfId="5307" xr:uid="{00000000-0005-0000-0000-0000BF100000}"/>
    <cellStyle name="Normal 7 2 2 3" xfId="430" xr:uid="{00000000-0005-0000-0000-0000C0100000}"/>
    <cellStyle name="Normal 7 2 2 3 2" xfId="856" xr:uid="{00000000-0005-0000-0000-0000C1100000}"/>
    <cellStyle name="Normal 7 2 2 3 2 2" xfId="2148" xr:uid="{00000000-0005-0000-0000-0000C2100000}"/>
    <cellStyle name="Normal 7 2 2 3 2 3" xfId="3426" xr:uid="{00000000-0005-0000-0000-0000C3100000}"/>
    <cellStyle name="Normal 7 2 2 3 2 4" xfId="4713" xr:uid="{00000000-0005-0000-0000-0000C4100000}"/>
    <cellStyle name="Normal 7 2 2 3 3" xfId="1282" xr:uid="{00000000-0005-0000-0000-0000C5100000}"/>
    <cellStyle name="Normal 7 2 2 3 3 2" xfId="2574" xr:uid="{00000000-0005-0000-0000-0000C6100000}"/>
    <cellStyle name="Normal 7 2 2 3 3 3" xfId="3852" xr:uid="{00000000-0005-0000-0000-0000C7100000}"/>
    <cellStyle name="Normal 7 2 2 3 3 4" xfId="5139" xr:uid="{00000000-0005-0000-0000-0000C8100000}"/>
    <cellStyle name="Normal 7 2 2 3 4" xfId="1722" xr:uid="{00000000-0005-0000-0000-0000C9100000}"/>
    <cellStyle name="Normal 7 2 2 3 5" xfId="3000" xr:uid="{00000000-0005-0000-0000-0000CA100000}"/>
    <cellStyle name="Normal 7 2 2 3 6" xfId="4287" xr:uid="{00000000-0005-0000-0000-0000CB100000}"/>
    <cellStyle name="Normal 7 2 2 4" xfId="643" xr:uid="{00000000-0005-0000-0000-0000CC100000}"/>
    <cellStyle name="Normal 7 2 2 4 2" xfId="1935" xr:uid="{00000000-0005-0000-0000-0000CD100000}"/>
    <cellStyle name="Normal 7 2 2 4 3" xfId="3213" xr:uid="{00000000-0005-0000-0000-0000CE100000}"/>
    <cellStyle name="Normal 7 2 2 4 4" xfId="4500" xr:uid="{00000000-0005-0000-0000-0000CF100000}"/>
    <cellStyle name="Normal 7 2 2 5" xfId="1069" xr:uid="{00000000-0005-0000-0000-0000D0100000}"/>
    <cellStyle name="Normal 7 2 2 5 2" xfId="2361" xr:uid="{00000000-0005-0000-0000-0000D1100000}"/>
    <cellStyle name="Normal 7 2 2 5 3" xfId="3639" xr:uid="{00000000-0005-0000-0000-0000D2100000}"/>
    <cellStyle name="Normal 7 2 2 5 4" xfId="4926" xr:uid="{00000000-0005-0000-0000-0000D3100000}"/>
    <cellStyle name="Normal 7 2 2 6" xfId="1509" xr:uid="{00000000-0005-0000-0000-0000D4100000}"/>
    <cellStyle name="Normal 7 2 2 7" xfId="2787" xr:uid="{00000000-0005-0000-0000-0000D5100000}"/>
    <cellStyle name="Normal 7 2 2 8" xfId="4074" xr:uid="{00000000-0005-0000-0000-0000D6100000}"/>
    <cellStyle name="Normal 7 2 2 9" xfId="5306" xr:uid="{00000000-0005-0000-0000-0000D7100000}"/>
    <cellStyle name="Normal 7 2 3" xfId="212" xr:uid="{00000000-0005-0000-0000-0000D8100000}"/>
    <cellStyle name="Normal 7 2 3 2" xfId="432" xr:uid="{00000000-0005-0000-0000-0000D9100000}"/>
    <cellStyle name="Normal 7 2 3 2 2" xfId="858" xr:uid="{00000000-0005-0000-0000-0000DA100000}"/>
    <cellStyle name="Normal 7 2 3 2 2 2" xfId="2150" xr:uid="{00000000-0005-0000-0000-0000DB100000}"/>
    <cellStyle name="Normal 7 2 3 2 2 3" xfId="3428" xr:uid="{00000000-0005-0000-0000-0000DC100000}"/>
    <cellStyle name="Normal 7 2 3 2 2 4" xfId="4715" xr:uid="{00000000-0005-0000-0000-0000DD100000}"/>
    <cellStyle name="Normal 7 2 3 2 3" xfId="1284" xr:uid="{00000000-0005-0000-0000-0000DE100000}"/>
    <cellStyle name="Normal 7 2 3 2 3 2" xfId="2576" xr:uid="{00000000-0005-0000-0000-0000DF100000}"/>
    <cellStyle name="Normal 7 2 3 2 3 3" xfId="3854" xr:uid="{00000000-0005-0000-0000-0000E0100000}"/>
    <cellStyle name="Normal 7 2 3 2 3 4" xfId="5141" xr:uid="{00000000-0005-0000-0000-0000E1100000}"/>
    <cellStyle name="Normal 7 2 3 2 4" xfId="1724" xr:uid="{00000000-0005-0000-0000-0000E2100000}"/>
    <cellStyle name="Normal 7 2 3 2 5" xfId="3002" xr:uid="{00000000-0005-0000-0000-0000E3100000}"/>
    <cellStyle name="Normal 7 2 3 2 6" xfId="4289" xr:uid="{00000000-0005-0000-0000-0000E4100000}"/>
    <cellStyle name="Normal 7 2 3 3" xfId="645" xr:uid="{00000000-0005-0000-0000-0000E5100000}"/>
    <cellStyle name="Normal 7 2 3 3 2" xfId="1937" xr:uid="{00000000-0005-0000-0000-0000E6100000}"/>
    <cellStyle name="Normal 7 2 3 3 3" xfId="3215" xr:uid="{00000000-0005-0000-0000-0000E7100000}"/>
    <cellStyle name="Normal 7 2 3 3 4" xfId="4502" xr:uid="{00000000-0005-0000-0000-0000E8100000}"/>
    <cellStyle name="Normal 7 2 3 4" xfId="1071" xr:uid="{00000000-0005-0000-0000-0000E9100000}"/>
    <cellStyle name="Normal 7 2 3 4 2" xfId="2363" xr:uid="{00000000-0005-0000-0000-0000EA100000}"/>
    <cellStyle name="Normal 7 2 3 4 3" xfId="3641" xr:uid="{00000000-0005-0000-0000-0000EB100000}"/>
    <cellStyle name="Normal 7 2 3 4 4" xfId="4928" xr:uid="{00000000-0005-0000-0000-0000EC100000}"/>
    <cellStyle name="Normal 7 2 3 5" xfId="1511" xr:uid="{00000000-0005-0000-0000-0000ED100000}"/>
    <cellStyle name="Normal 7 2 3 6" xfId="2789" xr:uid="{00000000-0005-0000-0000-0000EE100000}"/>
    <cellStyle name="Normal 7 2 3 7" xfId="4076" xr:uid="{00000000-0005-0000-0000-0000EF100000}"/>
    <cellStyle name="Normal 7 2 3 8" xfId="5308" xr:uid="{00000000-0005-0000-0000-0000F0100000}"/>
    <cellStyle name="Normal 7 2 4" xfId="213" xr:uid="{00000000-0005-0000-0000-0000F1100000}"/>
    <cellStyle name="Normal 7 2 4 2" xfId="433" xr:uid="{00000000-0005-0000-0000-0000F2100000}"/>
    <cellStyle name="Normal 7 2 4 2 2" xfId="859" xr:uid="{00000000-0005-0000-0000-0000F3100000}"/>
    <cellStyle name="Normal 7 2 4 2 2 2" xfId="2151" xr:uid="{00000000-0005-0000-0000-0000F4100000}"/>
    <cellStyle name="Normal 7 2 4 2 2 3" xfId="3429" xr:uid="{00000000-0005-0000-0000-0000F5100000}"/>
    <cellStyle name="Normal 7 2 4 2 2 4" xfId="4716" xr:uid="{00000000-0005-0000-0000-0000F6100000}"/>
    <cellStyle name="Normal 7 2 4 2 3" xfId="1285" xr:uid="{00000000-0005-0000-0000-0000F7100000}"/>
    <cellStyle name="Normal 7 2 4 2 3 2" xfId="2577" xr:uid="{00000000-0005-0000-0000-0000F8100000}"/>
    <cellStyle name="Normal 7 2 4 2 3 3" xfId="3855" xr:uid="{00000000-0005-0000-0000-0000F9100000}"/>
    <cellStyle name="Normal 7 2 4 2 3 4" xfId="5142" xr:uid="{00000000-0005-0000-0000-0000FA100000}"/>
    <cellStyle name="Normal 7 2 4 2 4" xfId="1725" xr:uid="{00000000-0005-0000-0000-0000FB100000}"/>
    <cellStyle name="Normal 7 2 4 2 5" xfId="3003" xr:uid="{00000000-0005-0000-0000-0000FC100000}"/>
    <cellStyle name="Normal 7 2 4 2 6" xfId="4290" xr:uid="{00000000-0005-0000-0000-0000FD100000}"/>
    <cellStyle name="Normal 7 2 4 3" xfId="646" xr:uid="{00000000-0005-0000-0000-0000FE100000}"/>
    <cellStyle name="Normal 7 2 4 3 2" xfId="1938" xr:uid="{00000000-0005-0000-0000-0000FF100000}"/>
    <cellStyle name="Normal 7 2 4 3 3" xfId="3216" xr:uid="{00000000-0005-0000-0000-000000110000}"/>
    <cellStyle name="Normal 7 2 4 3 4" xfId="4503" xr:uid="{00000000-0005-0000-0000-000001110000}"/>
    <cellStyle name="Normal 7 2 4 4" xfId="1072" xr:uid="{00000000-0005-0000-0000-000002110000}"/>
    <cellStyle name="Normal 7 2 4 4 2" xfId="2364" xr:uid="{00000000-0005-0000-0000-000003110000}"/>
    <cellStyle name="Normal 7 2 4 4 3" xfId="3642" xr:uid="{00000000-0005-0000-0000-000004110000}"/>
    <cellStyle name="Normal 7 2 4 4 4" xfId="4929" xr:uid="{00000000-0005-0000-0000-000005110000}"/>
    <cellStyle name="Normal 7 2 4 5" xfId="1512" xr:uid="{00000000-0005-0000-0000-000006110000}"/>
    <cellStyle name="Normal 7 2 4 6" xfId="2790" xr:uid="{00000000-0005-0000-0000-000007110000}"/>
    <cellStyle name="Normal 7 2 4 7" xfId="4077" xr:uid="{00000000-0005-0000-0000-000008110000}"/>
    <cellStyle name="Normal 7 2 5" xfId="214" xr:uid="{00000000-0005-0000-0000-000009110000}"/>
    <cellStyle name="Normal 7 2 5 2" xfId="434" xr:uid="{00000000-0005-0000-0000-00000A110000}"/>
    <cellStyle name="Normal 7 2 5 2 2" xfId="860" xr:uid="{00000000-0005-0000-0000-00000B110000}"/>
    <cellStyle name="Normal 7 2 5 2 2 2" xfId="2152" xr:uid="{00000000-0005-0000-0000-00000C110000}"/>
    <cellStyle name="Normal 7 2 5 2 2 3" xfId="3430" xr:uid="{00000000-0005-0000-0000-00000D110000}"/>
    <cellStyle name="Normal 7 2 5 2 2 4" xfId="4717" xr:uid="{00000000-0005-0000-0000-00000E110000}"/>
    <cellStyle name="Normal 7 2 5 2 3" xfId="1286" xr:uid="{00000000-0005-0000-0000-00000F110000}"/>
    <cellStyle name="Normal 7 2 5 2 3 2" xfId="2578" xr:uid="{00000000-0005-0000-0000-000010110000}"/>
    <cellStyle name="Normal 7 2 5 2 3 3" xfId="3856" xr:uid="{00000000-0005-0000-0000-000011110000}"/>
    <cellStyle name="Normal 7 2 5 2 3 4" xfId="5143" xr:uid="{00000000-0005-0000-0000-000012110000}"/>
    <cellStyle name="Normal 7 2 5 2 4" xfId="1726" xr:uid="{00000000-0005-0000-0000-000013110000}"/>
    <cellStyle name="Normal 7 2 5 2 5" xfId="3004" xr:uid="{00000000-0005-0000-0000-000014110000}"/>
    <cellStyle name="Normal 7 2 5 2 6" xfId="4291" xr:uid="{00000000-0005-0000-0000-000015110000}"/>
    <cellStyle name="Normal 7 2 5 3" xfId="647" xr:uid="{00000000-0005-0000-0000-000016110000}"/>
    <cellStyle name="Normal 7 2 5 3 2" xfId="1939" xr:uid="{00000000-0005-0000-0000-000017110000}"/>
    <cellStyle name="Normal 7 2 5 3 3" xfId="3217" xr:uid="{00000000-0005-0000-0000-000018110000}"/>
    <cellStyle name="Normal 7 2 5 3 4" xfId="4504" xr:uid="{00000000-0005-0000-0000-000019110000}"/>
    <cellStyle name="Normal 7 2 5 4" xfId="1073" xr:uid="{00000000-0005-0000-0000-00001A110000}"/>
    <cellStyle name="Normal 7 2 5 4 2" xfId="2365" xr:uid="{00000000-0005-0000-0000-00001B110000}"/>
    <cellStyle name="Normal 7 2 5 4 3" xfId="3643" xr:uid="{00000000-0005-0000-0000-00001C110000}"/>
    <cellStyle name="Normal 7 2 5 4 4" xfId="4930" xr:uid="{00000000-0005-0000-0000-00001D110000}"/>
    <cellStyle name="Normal 7 2 5 5" xfId="1513" xr:uid="{00000000-0005-0000-0000-00001E110000}"/>
    <cellStyle name="Normal 7 2 5 6" xfId="2791" xr:uid="{00000000-0005-0000-0000-00001F110000}"/>
    <cellStyle name="Normal 7 2 5 7" xfId="4078" xr:uid="{00000000-0005-0000-0000-000020110000}"/>
    <cellStyle name="Normal 7 2 6" xfId="281" xr:uid="{00000000-0005-0000-0000-000021110000}"/>
    <cellStyle name="Normal 7 2 6 2" xfId="494" xr:uid="{00000000-0005-0000-0000-000022110000}"/>
    <cellStyle name="Normal 7 2 6 2 2" xfId="919" xr:uid="{00000000-0005-0000-0000-000023110000}"/>
    <cellStyle name="Normal 7 2 6 2 2 2" xfId="2211" xr:uid="{00000000-0005-0000-0000-000024110000}"/>
    <cellStyle name="Normal 7 2 6 2 2 3" xfId="3489" xr:uid="{00000000-0005-0000-0000-000025110000}"/>
    <cellStyle name="Normal 7 2 6 2 2 4" xfId="4776" xr:uid="{00000000-0005-0000-0000-000026110000}"/>
    <cellStyle name="Normal 7 2 6 2 3" xfId="1345" xr:uid="{00000000-0005-0000-0000-000027110000}"/>
    <cellStyle name="Normal 7 2 6 2 3 2" xfId="2637" xr:uid="{00000000-0005-0000-0000-000028110000}"/>
    <cellStyle name="Normal 7 2 6 2 3 3" xfId="3915" xr:uid="{00000000-0005-0000-0000-000029110000}"/>
    <cellStyle name="Normal 7 2 6 2 3 4" xfId="5202" xr:uid="{00000000-0005-0000-0000-00002A110000}"/>
    <cellStyle name="Normal 7 2 6 2 4" xfId="1785" xr:uid="{00000000-0005-0000-0000-00002B110000}"/>
    <cellStyle name="Normal 7 2 6 2 5" xfId="3063" xr:uid="{00000000-0005-0000-0000-00002C110000}"/>
    <cellStyle name="Normal 7 2 6 2 6" xfId="4350" xr:uid="{00000000-0005-0000-0000-00002D110000}"/>
    <cellStyle name="Normal 7 2 6 3" xfId="706" xr:uid="{00000000-0005-0000-0000-00002E110000}"/>
    <cellStyle name="Normal 7 2 6 3 2" xfId="1998" xr:uid="{00000000-0005-0000-0000-00002F110000}"/>
    <cellStyle name="Normal 7 2 6 3 3" xfId="3276" xr:uid="{00000000-0005-0000-0000-000030110000}"/>
    <cellStyle name="Normal 7 2 6 3 4" xfId="4563" xr:uid="{00000000-0005-0000-0000-000031110000}"/>
    <cellStyle name="Normal 7 2 6 4" xfId="1132" xr:uid="{00000000-0005-0000-0000-000032110000}"/>
    <cellStyle name="Normal 7 2 6 4 2" xfId="2424" xr:uid="{00000000-0005-0000-0000-000033110000}"/>
    <cellStyle name="Normal 7 2 6 4 3" xfId="3702" xr:uid="{00000000-0005-0000-0000-000034110000}"/>
    <cellStyle name="Normal 7 2 6 4 4" xfId="4989" xr:uid="{00000000-0005-0000-0000-000035110000}"/>
    <cellStyle name="Normal 7 2 6 5" xfId="1572" xr:uid="{00000000-0005-0000-0000-000036110000}"/>
    <cellStyle name="Normal 7 2 6 6" xfId="2850" xr:uid="{00000000-0005-0000-0000-000037110000}"/>
    <cellStyle name="Normal 7 2 6 7" xfId="4137" xr:uid="{00000000-0005-0000-0000-000038110000}"/>
    <cellStyle name="Normal 7 2 7" xfId="429" xr:uid="{00000000-0005-0000-0000-000039110000}"/>
    <cellStyle name="Normal 7 2 7 2" xfId="855" xr:uid="{00000000-0005-0000-0000-00003A110000}"/>
    <cellStyle name="Normal 7 2 7 2 2" xfId="2147" xr:uid="{00000000-0005-0000-0000-00003B110000}"/>
    <cellStyle name="Normal 7 2 7 2 3" xfId="3425" xr:uid="{00000000-0005-0000-0000-00003C110000}"/>
    <cellStyle name="Normal 7 2 7 2 4" xfId="4712" xr:uid="{00000000-0005-0000-0000-00003D110000}"/>
    <cellStyle name="Normal 7 2 7 3" xfId="1281" xr:uid="{00000000-0005-0000-0000-00003E110000}"/>
    <cellStyle name="Normal 7 2 7 3 2" xfId="2573" xr:uid="{00000000-0005-0000-0000-00003F110000}"/>
    <cellStyle name="Normal 7 2 7 3 3" xfId="3851" xr:uid="{00000000-0005-0000-0000-000040110000}"/>
    <cellStyle name="Normal 7 2 7 3 4" xfId="5138" xr:uid="{00000000-0005-0000-0000-000041110000}"/>
    <cellStyle name="Normal 7 2 7 4" xfId="1721" xr:uid="{00000000-0005-0000-0000-000042110000}"/>
    <cellStyle name="Normal 7 2 7 5" xfId="2999" xr:uid="{00000000-0005-0000-0000-000043110000}"/>
    <cellStyle name="Normal 7 2 7 6" xfId="4286" xr:uid="{00000000-0005-0000-0000-000044110000}"/>
    <cellStyle name="Normal 7 2 8" xfId="642" xr:uid="{00000000-0005-0000-0000-000045110000}"/>
    <cellStyle name="Normal 7 2 8 2" xfId="1934" xr:uid="{00000000-0005-0000-0000-000046110000}"/>
    <cellStyle name="Normal 7 2 8 3" xfId="3212" xr:uid="{00000000-0005-0000-0000-000047110000}"/>
    <cellStyle name="Normal 7 2 8 4" xfId="4499" xr:uid="{00000000-0005-0000-0000-000048110000}"/>
    <cellStyle name="Normal 7 2 9" xfId="1068" xr:uid="{00000000-0005-0000-0000-000049110000}"/>
    <cellStyle name="Normal 7 2 9 2" xfId="2360" xr:uid="{00000000-0005-0000-0000-00004A110000}"/>
    <cellStyle name="Normal 7 2 9 3" xfId="3638" xr:uid="{00000000-0005-0000-0000-00004B110000}"/>
    <cellStyle name="Normal 7 2 9 4" xfId="4925" xr:uid="{00000000-0005-0000-0000-00004C110000}"/>
    <cellStyle name="Normal 7 3" xfId="215" xr:uid="{00000000-0005-0000-0000-00004D110000}"/>
    <cellStyle name="Normal 7 3 2" xfId="216" xr:uid="{00000000-0005-0000-0000-00004E110000}"/>
    <cellStyle name="Normal 7 3 2 2" xfId="436" xr:uid="{00000000-0005-0000-0000-00004F110000}"/>
    <cellStyle name="Normal 7 3 2 2 2" xfId="862" xr:uid="{00000000-0005-0000-0000-000050110000}"/>
    <cellStyle name="Normal 7 3 2 2 2 2" xfId="2154" xr:uid="{00000000-0005-0000-0000-000051110000}"/>
    <cellStyle name="Normal 7 3 2 2 2 3" xfId="3432" xr:uid="{00000000-0005-0000-0000-000052110000}"/>
    <cellStyle name="Normal 7 3 2 2 2 4" xfId="4719" xr:uid="{00000000-0005-0000-0000-000053110000}"/>
    <cellStyle name="Normal 7 3 2 2 3" xfId="1288" xr:uid="{00000000-0005-0000-0000-000054110000}"/>
    <cellStyle name="Normal 7 3 2 2 3 2" xfId="2580" xr:uid="{00000000-0005-0000-0000-000055110000}"/>
    <cellStyle name="Normal 7 3 2 2 3 3" xfId="3858" xr:uid="{00000000-0005-0000-0000-000056110000}"/>
    <cellStyle name="Normal 7 3 2 2 3 4" xfId="5145" xr:uid="{00000000-0005-0000-0000-000057110000}"/>
    <cellStyle name="Normal 7 3 2 2 4" xfId="1728" xr:uid="{00000000-0005-0000-0000-000058110000}"/>
    <cellStyle name="Normal 7 3 2 2 5" xfId="3006" xr:uid="{00000000-0005-0000-0000-000059110000}"/>
    <cellStyle name="Normal 7 3 2 2 6" xfId="4293" xr:uid="{00000000-0005-0000-0000-00005A110000}"/>
    <cellStyle name="Normal 7 3 2 3" xfId="649" xr:uid="{00000000-0005-0000-0000-00005B110000}"/>
    <cellStyle name="Normal 7 3 2 3 2" xfId="1941" xr:uid="{00000000-0005-0000-0000-00005C110000}"/>
    <cellStyle name="Normal 7 3 2 3 3" xfId="3219" xr:uid="{00000000-0005-0000-0000-00005D110000}"/>
    <cellStyle name="Normal 7 3 2 3 4" xfId="4506" xr:uid="{00000000-0005-0000-0000-00005E110000}"/>
    <cellStyle name="Normal 7 3 2 4" xfId="1075" xr:uid="{00000000-0005-0000-0000-00005F110000}"/>
    <cellStyle name="Normal 7 3 2 4 2" xfId="2367" xr:uid="{00000000-0005-0000-0000-000060110000}"/>
    <cellStyle name="Normal 7 3 2 4 3" xfId="3645" xr:uid="{00000000-0005-0000-0000-000061110000}"/>
    <cellStyle name="Normal 7 3 2 4 4" xfId="4932" xr:uid="{00000000-0005-0000-0000-000062110000}"/>
    <cellStyle name="Normal 7 3 2 5" xfId="1515" xr:uid="{00000000-0005-0000-0000-000063110000}"/>
    <cellStyle name="Normal 7 3 2 6" xfId="2793" xr:uid="{00000000-0005-0000-0000-000064110000}"/>
    <cellStyle name="Normal 7 3 2 7" xfId="4080" xr:uid="{00000000-0005-0000-0000-000065110000}"/>
    <cellStyle name="Normal 7 3 2 8" xfId="5310" xr:uid="{00000000-0005-0000-0000-000066110000}"/>
    <cellStyle name="Normal 7 3 3" xfId="435" xr:uid="{00000000-0005-0000-0000-000067110000}"/>
    <cellStyle name="Normal 7 3 3 2" xfId="861" xr:uid="{00000000-0005-0000-0000-000068110000}"/>
    <cellStyle name="Normal 7 3 3 2 2" xfId="2153" xr:uid="{00000000-0005-0000-0000-000069110000}"/>
    <cellStyle name="Normal 7 3 3 2 3" xfId="3431" xr:uid="{00000000-0005-0000-0000-00006A110000}"/>
    <cellStyle name="Normal 7 3 3 2 4" xfId="4718" xr:uid="{00000000-0005-0000-0000-00006B110000}"/>
    <cellStyle name="Normal 7 3 3 3" xfId="1287" xr:uid="{00000000-0005-0000-0000-00006C110000}"/>
    <cellStyle name="Normal 7 3 3 3 2" xfId="2579" xr:uid="{00000000-0005-0000-0000-00006D110000}"/>
    <cellStyle name="Normal 7 3 3 3 3" xfId="3857" xr:uid="{00000000-0005-0000-0000-00006E110000}"/>
    <cellStyle name="Normal 7 3 3 3 4" xfId="5144" xr:uid="{00000000-0005-0000-0000-00006F110000}"/>
    <cellStyle name="Normal 7 3 3 4" xfId="1727" xr:uid="{00000000-0005-0000-0000-000070110000}"/>
    <cellStyle name="Normal 7 3 3 5" xfId="3005" xr:uid="{00000000-0005-0000-0000-000071110000}"/>
    <cellStyle name="Normal 7 3 3 6" xfId="4292" xr:uid="{00000000-0005-0000-0000-000072110000}"/>
    <cellStyle name="Normal 7 3 4" xfId="648" xr:uid="{00000000-0005-0000-0000-000073110000}"/>
    <cellStyle name="Normal 7 3 4 2" xfId="1940" xr:uid="{00000000-0005-0000-0000-000074110000}"/>
    <cellStyle name="Normal 7 3 4 3" xfId="3218" xr:uid="{00000000-0005-0000-0000-000075110000}"/>
    <cellStyle name="Normal 7 3 4 4" xfId="4505" xr:uid="{00000000-0005-0000-0000-000076110000}"/>
    <cellStyle name="Normal 7 3 5" xfId="1074" xr:uid="{00000000-0005-0000-0000-000077110000}"/>
    <cellStyle name="Normal 7 3 5 2" xfId="2366" xr:uid="{00000000-0005-0000-0000-000078110000}"/>
    <cellStyle name="Normal 7 3 5 3" xfId="3644" xr:uid="{00000000-0005-0000-0000-000079110000}"/>
    <cellStyle name="Normal 7 3 5 4" xfId="4931" xr:uid="{00000000-0005-0000-0000-00007A110000}"/>
    <cellStyle name="Normal 7 3 6" xfId="1514" xr:uid="{00000000-0005-0000-0000-00007B110000}"/>
    <cellStyle name="Normal 7 3 7" xfId="2792" xr:uid="{00000000-0005-0000-0000-00007C110000}"/>
    <cellStyle name="Normal 7 3 8" xfId="4079" xr:uid="{00000000-0005-0000-0000-00007D110000}"/>
    <cellStyle name="Normal 7 3 9" xfId="5309" xr:uid="{00000000-0005-0000-0000-00007E110000}"/>
    <cellStyle name="Normal 7 4" xfId="217" xr:uid="{00000000-0005-0000-0000-00007F110000}"/>
    <cellStyle name="Normal 7 4 2" xfId="437" xr:uid="{00000000-0005-0000-0000-000080110000}"/>
    <cellStyle name="Normal 7 4 2 2" xfId="863" xr:uid="{00000000-0005-0000-0000-000081110000}"/>
    <cellStyle name="Normal 7 4 2 2 2" xfId="2155" xr:uid="{00000000-0005-0000-0000-000082110000}"/>
    <cellStyle name="Normal 7 4 2 2 3" xfId="3433" xr:uid="{00000000-0005-0000-0000-000083110000}"/>
    <cellStyle name="Normal 7 4 2 2 4" xfId="4720" xr:uid="{00000000-0005-0000-0000-000084110000}"/>
    <cellStyle name="Normal 7 4 2 3" xfId="1289" xr:uid="{00000000-0005-0000-0000-000085110000}"/>
    <cellStyle name="Normal 7 4 2 3 2" xfId="2581" xr:uid="{00000000-0005-0000-0000-000086110000}"/>
    <cellStyle name="Normal 7 4 2 3 3" xfId="3859" xr:uid="{00000000-0005-0000-0000-000087110000}"/>
    <cellStyle name="Normal 7 4 2 3 4" xfId="5146" xr:uid="{00000000-0005-0000-0000-000088110000}"/>
    <cellStyle name="Normal 7 4 2 4" xfId="1729" xr:uid="{00000000-0005-0000-0000-000089110000}"/>
    <cellStyle name="Normal 7 4 2 5" xfId="3007" xr:uid="{00000000-0005-0000-0000-00008A110000}"/>
    <cellStyle name="Normal 7 4 2 6" xfId="4294" xr:uid="{00000000-0005-0000-0000-00008B110000}"/>
    <cellStyle name="Normal 7 4 3" xfId="650" xr:uid="{00000000-0005-0000-0000-00008C110000}"/>
    <cellStyle name="Normal 7 4 3 2" xfId="1942" xr:uid="{00000000-0005-0000-0000-00008D110000}"/>
    <cellStyle name="Normal 7 4 3 3" xfId="3220" xr:uid="{00000000-0005-0000-0000-00008E110000}"/>
    <cellStyle name="Normal 7 4 3 4" xfId="4507" xr:uid="{00000000-0005-0000-0000-00008F110000}"/>
    <cellStyle name="Normal 7 4 4" xfId="1076" xr:uid="{00000000-0005-0000-0000-000090110000}"/>
    <cellStyle name="Normal 7 4 4 2" xfId="2368" xr:uid="{00000000-0005-0000-0000-000091110000}"/>
    <cellStyle name="Normal 7 4 4 3" xfId="3646" xr:uid="{00000000-0005-0000-0000-000092110000}"/>
    <cellStyle name="Normal 7 4 4 4" xfId="4933" xr:uid="{00000000-0005-0000-0000-000093110000}"/>
    <cellStyle name="Normal 7 4 5" xfId="1516" xr:uid="{00000000-0005-0000-0000-000094110000}"/>
    <cellStyle name="Normal 7 4 6" xfId="2794" xr:uid="{00000000-0005-0000-0000-000095110000}"/>
    <cellStyle name="Normal 7 4 7" xfId="4081" xr:uid="{00000000-0005-0000-0000-000096110000}"/>
    <cellStyle name="Normal 7 4 8" xfId="5311" xr:uid="{00000000-0005-0000-0000-000097110000}"/>
    <cellStyle name="Normal 7 5" xfId="218" xr:uid="{00000000-0005-0000-0000-000098110000}"/>
    <cellStyle name="Normal 7 5 2" xfId="438" xr:uid="{00000000-0005-0000-0000-000099110000}"/>
    <cellStyle name="Normal 7 5 2 2" xfId="864" xr:uid="{00000000-0005-0000-0000-00009A110000}"/>
    <cellStyle name="Normal 7 5 2 2 2" xfId="2156" xr:uid="{00000000-0005-0000-0000-00009B110000}"/>
    <cellStyle name="Normal 7 5 2 2 3" xfId="3434" xr:uid="{00000000-0005-0000-0000-00009C110000}"/>
    <cellStyle name="Normal 7 5 2 2 4" xfId="4721" xr:uid="{00000000-0005-0000-0000-00009D110000}"/>
    <cellStyle name="Normal 7 5 2 3" xfId="1290" xr:uid="{00000000-0005-0000-0000-00009E110000}"/>
    <cellStyle name="Normal 7 5 2 3 2" xfId="2582" xr:uid="{00000000-0005-0000-0000-00009F110000}"/>
    <cellStyle name="Normal 7 5 2 3 3" xfId="3860" xr:uid="{00000000-0005-0000-0000-0000A0110000}"/>
    <cellStyle name="Normal 7 5 2 3 4" xfId="5147" xr:uid="{00000000-0005-0000-0000-0000A1110000}"/>
    <cellStyle name="Normal 7 5 2 4" xfId="1730" xr:uid="{00000000-0005-0000-0000-0000A2110000}"/>
    <cellStyle name="Normal 7 5 2 5" xfId="3008" xr:uid="{00000000-0005-0000-0000-0000A3110000}"/>
    <cellStyle name="Normal 7 5 2 6" xfId="4295" xr:uid="{00000000-0005-0000-0000-0000A4110000}"/>
    <cellStyle name="Normal 7 5 3" xfId="651" xr:uid="{00000000-0005-0000-0000-0000A5110000}"/>
    <cellStyle name="Normal 7 5 3 2" xfId="1943" xr:uid="{00000000-0005-0000-0000-0000A6110000}"/>
    <cellStyle name="Normal 7 5 3 3" xfId="3221" xr:uid="{00000000-0005-0000-0000-0000A7110000}"/>
    <cellStyle name="Normal 7 5 3 4" xfId="4508" xr:uid="{00000000-0005-0000-0000-0000A8110000}"/>
    <cellStyle name="Normal 7 5 4" xfId="1077" xr:uid="{00000000-0005-0000-0000-0000A9110000}"/>
    <cellStyle name="Normal 7 5 4 2" xfId="2369" xr:uid="{00000000-0005-0000-0000-0000AA110000}"/>
    <cellStyle name="Normal 7 5 4 3" xfId="3647" xr:uid="{00000000-0005-0000-0000-0000AB110000}"/>
    <cellStyle name="Normal 7 5 4 4" xfId="4934" xr:uid="{00000000-0005-0000-0000-0000AC110000}"/>
    <cellStyle name="Normal 7 5 5" xfId="1517" xr:uid="{00000000-0005-0000-0000-0000AD110000}"/>
    <cellStyle name="Normal 7 5 6" xfId="2795" xr:uid="{00000000-0005-0000-0000-0000AE110000}"/>
    <cellStyle name="Normal 7 5 7" xfId="4082" xr:uid="{00000000-0005-0000-0000-0000AF110000}"/>
    <cellStyle name="Normal 7 6" xfId="219" xr:uid="{00000000-0005-0000-0000-0000B0110000}"/>
    <cellStyle name="Normal 7 6 2" xfId="439" xr:uid="{00000000-0005-0000-0000-0000B1110000}"/>
    <cellStyle name="Normal 7 6 2 2" xfId="865" xr:uid="{00000000-0005-0000-0000-0000B2110000}"/>
    <cellStyle name="Normal 7 6 2 2 2" xfId="2157" xr:uid="{00000000-0005-0000-0000-0000B3110000}"/>
    <cellStyle name="Normal 7 6 2 2 3" xfId="3435" xr:uid="{00000000-0005-0000-0000-0000B4110000}"/>
    <cellStyle name="Normal 7 6 2 2 4" xfId="4722" xr:uid="{00000000-0005-0000-0000-0000B5110000}"/>
    <cellStyle name="Normal 7 6 2 3" xfId="1291" xr:uid="{00000000-0005-0000-0000-0000B6110000}"/>
    <cellStyle name="Normal 7 6 2 3 2" xfId="2583" xr:uid="{00000000-0005-0000-0000-0000B7110000}"/>
    <cellStyle name="Normal 7 6 2 3 3" xfId="3861" xr:uid="{00000000-0005-0000-0000-0000B8110000}"/>
    <cellStyle name="Normal 7 6 2 3 4" xfId="5148" xr:uid="{00000000-0005-0000-0000-0000B9110000}"/>
    <cellStyle name="Normal 7 6 2 4" xfId="1731" xr:uid="{00000000-0005-0000-0000-0000BA110000}"/>
    <cellStyle name="Normal 7 6 2 5" xfId="3009" xr:uid="{00000000-0005-0000-0000-0000BB110000}"/>
    <cellStyle name="Normal 7 6 2 6" xfId="4296" xr:uid="{00000000-0005-0000-0000-0000BC110000}"/>
    <cellStyle name="Normal 7 6 3" xfId="652" xr:uid="{00000000-0005-0000-0000-0000BD110000}"/>
    <cellStyle name="Normal 7 6 3 2" xfId="1944" xr:uid="{00000000-0005-0000-0000-0000BE110000}"/>
    <cellStyle name="Normal 7 6 3 3" xfId="3222" xr:uid="{00000000-0005-0000-0000-0000BF110000}"/>
    <cellStyle name="Normal 7 6 3 4" xfId="4509" xr:uid="{00000000-0005-0000-0000-0000C0110000}"/>
    <cellStyle name="Normal 7 6 4" xfId="1078" xr:uid="{00000000-0005-0000-0000-0000C1110000}"/>
    <cellStyle name="Normal 7 6 4 2" xfId="2370" xr:uid="{00000000-0005-0000-0000-0000C2110000}"/>
    <cellStyle name="Normal 7 6 4 3" xfId="3648" xr:uid="{00000000-0005-0000-0000-0000C3110000}"/>
    <cellStyle name="Normal 7 6 4 4" xfId="4935" xr:uid="{00000000-0005-0000-0000-0000C4110000}"/>
    <cellStyle name="Normal 7 6 5" xfId="1518" xr:uid="{00000000-0005-0000-0000-0000C5110000}"/>
    <cellStyle name="Normal 7 6 6" xfId="2796" xr:uid="{00000000-0005-0000-0000-0000C6110000}"/>
    <cellStyle name="Normal 7 6 7" xfId="4083" xr:uid="{00000000-0005-0000-0000-0000C7110000}"/>
    <cellStyle name="Normal 7 7" xfId="220" xr:uid="{00000000-0005-0000-0000-0000C8110000}"/>
    <cellStyle name="Normal 7 7 2" xfId="440" xr:uid="{00000000-0005-0000-0000-0000C9110000}"/>
    <cellStyle name="Normal 7 7 2 2" xfId="866" xr:uid="{00000000-0005-0000-0000-0000CA110000}"/>
    <cellStyle name="Normal 7 7 2 2 2" xfId="2158" xr:uid="{00000000-0005-0000-0000-0000CB110000}"/>
    <cellStyle name="Normal 7 7 2 2 3" xfId="3436" xr:uid="{00000000-0005-0000-0000-0000CC110000}"/>
    <cellStyle name="Normal 7 7 2 2 4" xfId="4723" xr:uid="{00000000-0005-0000-0000-0000CD110000}"/>
    <cellStyle name="Normal 7 7 2 3" xfId="1292" xr:uid="{00000000-0005-0000-0000-0000CE110000}"/>
    <cellStyle name="Normal 7 7 2 3 2" xfId="2584" xr:uid="{00000000-0005-0000-0000-0000CF110000}"/>
    <cellStyle name="Normal 7 7 2 3 3" xfId="3862" xr:uid="{00000000-0005-0000-0000-0000D0110000}"/>
    <cellStyle name="Normal 7 7 2 3 4" xfId="5149" xr:uid="{00000000-0005-0000-0000-0000D1110000}"/>
    <cellStyle name="Normal 7 7 2 4" xfId="1732" xr:uid="{00000000-0005-0000-0000-0000D2110000}"/>
    <cellStyle name="Normal 7 7 2 5" xfId="3010" xr:uid="{00000000-0005-0000-0000-0000D3110000}"/>
    <cellStyle name="Normal 7 7 2 6" xfId="4297" xr:uid="{00000000-0005-0000-0000-0000D4110000}"/>
    <cellStyle name="Normal 7 7 3" xfId="653" xr:uid="{00000000-0005-0000-0000-0000D5110000}"/>
    <cellStyle name="Normal 7 7 3 2" xfId="1945" xr:uid="{00000000-0005-0000-0000-0000D6110000}"/>
    <cellStyle name="Normal 7 7 3 3" xfId="3223" xr:uid="{00000000-0005-0000-0000-0000D7110000}"/>
    <cellStyle name="Normal 7 7 3 4" xfId="4510" xr:uid="{00000000-0005-0000-0000-0000D8110000}"/>
    <cellStyle name="Normal 7 7 4" xfId="1079" xr:uid="{00000000-0005-0000-0000-0000D9110000}"/>
    <cellStyle name="Normal 7 7 4 2" xfId="2371" xr:uid="{00000000-0005-0000-0000-0000DA110000}"/>
    <cellStyle name="Normal 7 7 4 3" xfId="3649" xr:uid="{00000000-0005-0000-0000-0000DB110000}"/>
    <cellStyle name="Normal 7 7 4 4" xfId="4936" xr:uid="{00000000-0005-0000-0000-0000DC110000}"/>
    <cellStyle name="Normal 7 7 5" xfId="1519" xr:uid="{00000000-0005-0000-0000-0000DD110000}"/>
    <cellStyle name="Normal 7 7 6" xfId="2797" xr:uid="{00000000-0005-0000-0000-0000DE110000}"/>
    <cellStyle name="Normal 7 7 7" xfId="4084" xr:uid="{00000000-0005-0000-0000-0000DF110000}"/>
    <cellStyle name="Normal 7 8" xfId="221" xr:uid="{00000000-0005-0000-0000-0000E0110000}"/>
    <cellStyle name="Normal 7 8 2" xfId="441" xr:uid="{00000000-0005-0000-0000-0000E1110000}"/>
    <cellStyle name="Normal 7 8 2 2" xfId="867" xr:uid="{00000000-0005-0000-0000-0000E2110000}"/>
    <cellStyle name="Normal 7 8 2 2 2" xfId="2159" xr:uid="{00000000-0005-0000-0000-0000E3110000}"/>
    <cellStyle name="Normal 7 8 2 2 3" xfId="3437" xr:uid="{00000000-0005-0000-0000-0000E4110000}"/>
    <cellStyle name="Normal 7 8 2 2 4" xfId="4724" xr:uid="{00000000-0005-0000-0000-0000E5110000}"/>
    <cellStyle name="Normal 7 8 2 3" xfId="1293" xr:uid="{00000000-0005-0000-0000-0000E6110000}"/>
    <cellStyle name="Normal 7 8 2 3 2" xfId="2585" xr:uid="{00000000-0005-0000-0000-0000E7110000}"/>
    <cellStyle name="Normal 7 8 2 3 3" xfId="3863" xr:uid="{00000000-0005-0000-0000-0000E8110000}"/>
    <cellStyle name="Normal 7 8 2 3 4" xfId="5150" xr:uid="{00000000-0005-0000-0000-0000E9110000}"/>
    <cellStyle name="Normal 7 8 2 4" xfId="1733" xr:uid="{00000000-0005-0000-0000-0000EA110000}"/>
    <cellStyle name="Normal 7 8 2 5" xfId="3011" xr:uid="{00000000-0005-0000-0000-0000EB110000}"/>
    <cellStyle name="Normal 7 8 2 6" xfId="4298" xr:uid="{00000000-0005-0000-0000-0000EC110000}"/>
    <cellStyle name="Normal 7 8 3" xfId="654" xr:uid="{00000000-0005-0000-0000-0000ED110000}"/>
    <cellStyle name="Normal 7 8 3 2" xfId="1946" xr:uid="{00000000-0005-0000-0000-0000EE110000}"/>
    <cellStyle name="Normal 7 8 3 3" xfId="3224" xr:uid="{00000000-0005-0000-0000-0000EF110000}"/>
    <cellStyle name="Normal 7 8 3 4" xfId="4511" xr:uid="{00000000-0005-0000-0000-0000F0110000}"/>
    <cellStyle name="Normal 7 8 4" xfId="1080" xr:uid="{00000000-0005-0000-0000-0000F1110000}"/>
    <cellStyle name="Normal 7 8 4 2" xfId="2372" xr:uid="{00000000-0005-0000-0000-0000F2110000}"/>
    <cellStyle name="Normal 7 8 4 3" xfId="3650" xr:uid="{00000000-0005-0000-0000-0000F3110000}"/>
    <cellStyle name="Normal 7 8 4 4" xfId="4937" xr:uid="{00000000-0005-0000-0000-0000F4110000}"/>
    <cellStyle name="Normal 7 8 5" xfId="1520" xr:uid="{00000000-0005-0000-0000-0000F5110000}"/>
    <cellStyle name="Normal 7 8 6" xfId="2798" xr:uid="{00000000-0005-0000-0000-0000F6110000}"/>
    <cellStyle name="Normal 7 8 7" xfId="4085" xr:uid="{00000000-0005-0000-0000-0000F7110000}"/>
    <cellStyle name="Normal 7 9" xfId="266" xr:uid="{00000000-0005-0000-0000-0000F8110000}"/>
    <cellStyle name="Normal 7 9 2" xfId="479" xr:uid="{00000000-0005-0000-0000-0000F9110000}"/>
    <cellStyle name="Normal 7 9 2 2" xfId="904" xr:uid="{00000000-0005-0000-0000-0000FA110000}"/>
    <cellStyle name="Normal 7 9 2 2 2" xfId="2196" xr:uid="{00000000-0005-0000-0000-0000FB110000}"/>
    <cellStyle name="Normal 7 9 2 2 3" xfId="3474" xr:uid="{00000000-0005-0000-0000-0000FC110000}"/>
    <cellStyle name="Normal 7 9 2 2 4" xfId="4761" xr:uid="{00000000-0005-0000-0000-0000FD110000}"/>
    <cellStyle name="Normal 7 9 2 3" xfId="1330" xr:uid="{00000000-0005-0000-0000-0000FE110000}"/>
    <cellStyle name="Normal 7 9 2 3 2" xfId="2622" xr:uid="{00000000-0005-0000-0000-0000FF110000}"/>
    <cellStyle name="Normal 7 9 2 3 3" xfId="3900" xr:uid="{00000000-0005-0000-0000-000000120000}"/>
    <cellStyle name="Normal 7 9 2 3 4" xfId="5187" xr:uid="{00000000-0005-0000-0000-000001120000}"/>
    <cellStyle name="Normal 7 9 2 4" xfId="1770" xr:uid="{00000000-0005-0000-0000-000002120000}"/>
    <cellStyle name="Normal 7 9 2 5" xfId="3048" xr:uid="{00000000-0005-0000-0000-000003120000}"/>
    <cellStyle name="Normal 7 9 2 6" xfId="4335" xr:uid="{00000000-0005-0000-0000-000004120000}"/>
    <cellStyle name="Normal 7 9 3" xfId="691" xr:uid="{00000000-0005-0000-0000-000005120000}"/>
    <cellStyle name="Normal 7 9 3 2" xfId="1983" xr:uid="{00000000-0005-0000-0000-000006120000}"/>
    <cellStyle name="Normal 7 9 3 3" xfId="3261" xr:uid="{00000000-0005-0000-0000-000007120000}"/>
    <cellStyle name="Normal 7 9 3 4" xfId="4548" xr:uid="{00000000-0005-0000-0000-000008120000}"/>
    <cellStyle name="Normal 7 9 4" xfId="1117" xr:uid="{00000000-0005-0000-0000-000009120000}"/>
    <cellStyle name="Normal 7 9 4 2" xfId="2409" xr:uid="{00000000-0005-0000-0000-00000A120000}"/>
    <cellStyle name="Normal 7 9 4 3" xfId="3687" xr:uid="{00000000-0005-0000-0000-00000B120000}"/>
    <cellStyle name="Normal 7 9 4 4" xfId="4974" xr:uid="{00000000-0005-0000-0000-00000C120000}"/>
    <cellStyle name="Normal 7 9 5" xfId="1557" xr:uid="{00000000-0005-0000-0000-00000D120000}"/>
    <cellStyle name="Normal 7 9 6" xfId="2835" xr:uid="{00000000-0005-0000-0000-00000E120000}"/>
    <cellStyle name="Normal 7 9 7" xfId="4122" xr:uid="{00000000-0005-0000-0000-00000F120000}"/>
    <cellStyle name="Normal 8" xfId="222" xr:uid="{00000000-0005-0000-0000-000010120000}"/>
    <cellStyle name="Normal 8 2" xfId="247" xr:uid="{00000000-0005-0000-0000-000011120000}"/>
    <cellStyle name="Normal 8 2 2" xfId="442" xr:uid="{00000000-0005-0000-0000-000012120000}"/>
    <cellStyle name="Normal 8 3" xfId="5312" xr:uid="{00000000-0005-0000-0000-000013120000}"/>
    <cellStyle name="Normal 9" xfId="253" xr:uid="{00000000-0005-0000-0000-000014120000}"/>
    <cellStyle name="Normal 9 2" xfId="1361" xr:uid="{00000000-0005-0000-0000-000015120000}"/>
    <cellStyle name="Normal_A" xfId="5335" xr:uid="{00000000-0005-0000-0000-000016120000}"/>
    <cellStyle name="Normal_Indirects_1" xfId="41" xr:uid="{00000000-0005-0000-0000-000018120000}"/>
    <cellStyle name="Normal_Sheet1" xfId="80" xr:uid="{00000000-0005-0000-0000-000019120000}"/>
    <cellStyle name="Note" xfId="8" builtinId="10"/>
    <cellStyle name="Note 2" xfId="36" xr:uid="{00000000-0005-0000-0000-00001C120000}"/>
    <cellStyle name="Note 2 10" xfId="1081" xr:uid="{00000000-0005-0000-0000-00001D120000}"/>
    <cellStyle name="Note 2 10 2" xfId="2373" xr:uid="{00000000-0005-0000-0000-00001E120000}"/>
    <cellStyle name="Note 2 10 3" xfId="3651" xr:uid="{00000000-0005-0000-0000-00001F120000}"/>
    <cellStyle name="Note 2 10 4" xfId="4938" xr:uid="{00000000-0005-0000-0000-000020120000}"/>
    <cellStyle name="Note 2 11" xfId="1521" xr:uid="{00000000-0005-0000-0000-000021120000}"/>
    <cellStyle name="Note 2 12" xfId="2799" xr:uid="{00000000-0005-0000-0000-000022120000}"/>
    <cellStyle name="Note 2 13" xfId="4086" xr:uid="{00000000-0005-0000-0000-000023120000}"/>
    <cellStyle name="Note 2 14" xfId="5313" xr:uid="{00000000-0005-0000-0000-000024120000}"/>
    <cellStyle name="Note 2 2" xfId="37" xr:uid="{00000000-0005-0000-0000-000025120000}"/>
    <cellStyle name="Note 2 2 10" xfId="1522" xr:uid="{00000000-0005-0000-0000-000026120000}"/>
    <cellStyle name="Note 2 2 11" xfId="2800" xr:uid="{00000000-0005-0000-0000-000027120000}"/>
    <cellStyle name="Note 2 2 12" xfId="4087" xr:uid="{00000000-0005-0000-0000-000028120000}"/>
    <cellStyle name="Note 2 2 13" xfId="5314" xr:uid="{00000000-0005-0000-0000-000029120000}"/>
    <cellStyle name="Note 2 2 2" xfId="223" xr:uid="{00000000-0005-0000-0000-00002A120000}"/>
    <cellStyle name="Note 2 2 2 2" xfId="224" xr:uid="{00000000-0005-0000-0000-00002B120000}"/>
    <cellStyle name="Note 2 2 2 2 2" xfId="446" xr:uid="{00000000-0005-0000-0000-00002C120000}"/>
    <cellStyle name="Note 2 2 2 2 2 2" xfId="871" xr:uid="{00000000-0005-0000-0000-00002D120000}"/>
    <cellStyle name="Note 2 2 2 2 2 2 2" xfId="2163" xr:uid="{00000000-0005-0000-0000-00002E120000}"/>
    <cellStyle name="Note 2 2 2 2 2 2 3" xfId="3441" xr:uid="{00000000-0005-0000-0000-00002F120000}"/>
    <cellStyle name="Note 2 2 2 2 2 2 4" xfId="4728" xr:uid="{00000000-0005-0000-0000-000030120000}"/>
    <cellStyle name="Note 2 2 2 2 2 3" xfId="1297" xr:uid="{00000000-0005-0000-0000-000031120000}"/>
    <cellStyle name="Note 2 2 2 2 2 3 2" xfId="2589" xr:uid="{00000000-0005-0000-0000-000032120000}"/>
    <cellStyle name="Note 2 2 2 2 2 3 3" xfId="3867" xr:uid="{00000000-0005-0000-0000-000033120000}"/>
    <cellStyle name="Note 2 2 2 2 2 3 4" xfId="5154" xr:uid="{00000000-0005-0000-0000-000034120000}"/>
    <cellStyle name="Note 2 2 2 2 2 4" xfId="1737" xr:uid="{00000000-0005-0000-0000-000035120000}"/>
    <cellStyle name="Note 2 2 2 2 2 5" xfId="3015" xr:uid="{00000000-0005-0000-0000-000036120000}"/>
    <cellStyle name="Note 2 2 2 2 2 6" xfId="4302" xr:uid="{00000000-0005-0000-0000-000037120000}"/>
    <cellStyle name="Note 2 2 2 2 3" xfId="658" xr:uid="{00000000-0005-0000-0000-000038120000}"/>
    <cellStyle name="Note 2 2 2 2 3 2" xfId="1950" xr:uid="{00000000-0005-0000-0000-000039120000}"/>
    <cellStyle name="Note 2 2 2 2 3 3" xfId="3228" xr:uid="{00000000-0005-0000-0000-00003A120000}"/>
    <cellStyle name="Note 2 2 2 2 3 4" xfId="4515" xr:uid="{00000000-0005-0000-0000-00003B120000}"/>
    <cellStyle name="Note 2 2 2 2 4" xfId="1084" xr:uid="{00000000-0005-0000-0000-00003C120000}"/>
    <cellStyle name="Note 2 2 2 2 4 2" xfId="2376" xr:uid="{00000000-0005-0000-0000-00003D120000}"/>
    <cellStyle name="Note 2 2 2 2 4 3" xfId="3654" xr:uid="{00000000-0005-0000-0000-00003E120000}"/>
    <cellStyle name="Note 2 2 2 2 4 4" xfId="4941" xr:uid="{00000000-0005-0000-0000-00003F120000}"/>
    <cellStyle name="Note 2 2 2 2 5" xfId="1524" xr:uid="{00000000-0005-0000-0000-000040120000}"/>
    <cellStyle name="Note 2 2 2 2 6" xfId="2802" xr:uid="{00000000-0005-0000-0000-000041120000}"/>
    <cellStyle name="Note 2 2 2 2 7" xfId="4089" xr:uid="{00000000-0005-0000-0000-000042120000}"/>
    <cellStyle name="Note 2 2 2 2 8" xfId="5316" xr:uid="{00000000-0005-0000-0000-000043120000}"/>
    <cellStyle name="Note 2 2 2 3" xfId="445" xr:uid="{00000000-0005-0000-0000-000044120000}"/>
    <cellStyle name="Note 2 2 2 3 2" xfId="870" xr:uid="{00000000-0005-0000-0000-000045120000}"/>
    <cellStyle name="Note 2 2 2 3 2 2" xfId="2162" xr:uid="{00000000-0005-0000-0000-000046120000}"/>
    <cellStyle name="Note 2 2 2 3 2 3" xfId="3440" xr:uid="{00000000-0005-0000-0000-000047120000}"/>
    <cellStyle name="Note 2 2 2 3 2 4" xfId="4727" xr:uid="{00000000-0005-0000-0000-000048120000}"/>
    <cellStyle name="Note 2 2 2 3 3" xfId="1296" xr:uid="{00000000-0005-0000-0000-000049120000}"/>
    <cellStyle name="Note 2 2 2 3 3 2" xfId="2588" xr:uid="{00000000-0005-0000-0000-00004A120000}"/>
    <cellStyle name="Note 2 2 2 3 3 3" xfId="3866" xr:uid="{00000000-0005-0000-0000-00004B120000}"/>
    <cellStyle name="Note 2 2 2 3 3 4" xfId="5153" xr:uid="{00000000-0005-0000-0000-00004C120000}"/>
    <cellStyle name="Note 2 2 2 3 4" xfId="1736" xr:uid="{00000000-0005-0000-0000-00004D120000}"/>
    <cellStyle name="Note 2 2 2 3 5" xfId="3014" xr:uid="{00000000-0005-0000-0000-00004E120000}"/>
    <cellStyle name="Note 2 2 2 3 6" xfId="4301" xr:uid="{00000000-0005-0000-0000-00004F120000}"/>
    <cellStyle name="Note 2 2 2 4" xfId="657" xr:uid="{00000000-0005-0000-0000-000050120000}"/>
    <cellStyle name="Note 2 2 2 4 2" xfId="1949" xr:uid="{00000000-0005-0000-0000-000051120000}"/>
    <cellStyle name="Note 2 2 2 4 3" xfId="3227" xr:uid="{00000000-0005-0000-0000-000052120000}"/>
    <cellStyle name="Note 2 2 2 4 4" xfId="4514" xr:uid="{00000000-0005-0000-0000-000053120000}"/>
    <cellStyle name="Note 2 2 2 5" xfId="1083" xr:uid="{00000000-0005-0000-0000-000054120000}"/>
    <cellStyle name="Note 2 2 2 5 2" xfId="2375" xr:uid="{00000000-0005-0000-0000-000055120000}"/>
    <cellStyle name="Note 2 2 2 5 3" xfId="3653" xr:uid="{00000000-0005-0000-0000-000056120000}"/>
    <cellStyle name="Note 2 2 2 5 4" xfId="4940" xr:uid="{00000000-0005-0000-0000-000057120000}"/>
    <cellStyle name="Note 2 2 2 6" xfId="1523" xr:uid="{00000000-0005-0000-0000-000058120000}"/>
    <cellStyle name="Note 2 2 2 7" xfId="2801" xr:uid="{00000000-0005-0000-0000-000059120000}"/>
    <cellStyle name="Note 2 2 2 8" xfId="4088" xr:uid="{00000000-0005-0000-0000-00005A120000}"/>
    <cellStyle name="Note 2 2 2 9" xfId="5315" xr:uid="{00000000-0005-0000-0000-00005B120000}"/>
    <cellStyle name="Note 2 2 3" xfId="225" xr:uid="{00000000-0005-0000-0000-00005C120000}"/>
    <cellStyle name="Note 2 2 3 2" xfId="447" xr:uid="{00000000-0005-0000-0000-00005D120000}"/>
    <cellStyle name="Note 2 2 3 2 2" xfId="872" xr:uid="{00000000-0005-0000-0000-00005E120000}"/>
    <cellStyle name="Note 2 2 3 2 2 2" xfId="2164" xr:uid="{00000000-0005-0000-0000-00005F120000}"/>
    <cellStyle name="Note 2 2 3 2 2 3" xfId="3442" xr:uid="{00000000-0005-0000-0000-000060120000}"/>
    <cellStyle name="Note 2 2 3 2 2 4" xfId="4729" xr:uid="{00000000-0005-0000-0000-000061120000}"/>
    <cellStyle name="Note 2 2 3 2 3" xfId="1298" xr:uid="{00000000-0005-0000-0000-000062120000}"/>
    <cellStyle name="Note 2 2 3 2 3 2" xfId="2590" xr:uid="{00000000-0005-0000-0000-000063120000}"/>
    <cellStyle name="Note 2 2 3 2 3 3" xfId="3868" xr:uid="{00000000-0005-0000-0000-000064120000}"/>
    <cellStyle name="Note 2 2 3 2 3 4" xfId="5155" xr:uid="{00000000-0005-0000-0000-000065120000}"/>
    <cellStyle name="Note 2 2 3 2 4" xfId="1738" xr:uid="{00000000-0005-0000-0000-000066120000}"/>
    <cellStyle name="Note 2 2 3 2 5" xfId="3016" xr:uid="{00000000-0005-0000-0000-000067120000}"/>
    <cellStyle name="Note 2 2 3 2 6" xfId="4303" xr:uid="{00000000-0005-0000-0000-000068120000}"/>
    <cellStyle name="Note 2 2 3 3" xfId="659" xr:uid="{00000000-0005-0000-0000-000069120000}"/>
    <cellStyle name="Note 2 2 3 3 2" xfId="1951" xr:uid="{00000000-0005-0000-0000-00006A120000}"/>
    <cellStyle name="Note 2 2 3 3 3" xfId="3229" xr:uid="{00000000-0005-0000-0000-00006B120000}"/>
    <cellStyle name="Note 2 2 3 3 4" xfId="4516" xr:uid="{00000000-0005-0000-0000-00006C120000}"/>
    <cellStyle name="Note 2 2 3 4" xfId="1085" xr:uid="{00000000-0005-0000-0000-00006D120000}"/>
    <cellStyle name="Note 2 2 3 4 2" xfId="2377" xr:uid="{00000000-0005-0000-0000-00006E120000}"/>
    <cellStyle name="Note 2 2 3 4 3" xfId="3655" xr:uid="{00000000-0005-0000-0000-00006F120000}"/>
    <cellStyle name="Note 2 2 3 4 4" xfId="4942" xr:uid="{00000000-0005-0000-0000-000070120000}"/>
    <cellStyle name="Note 2 2 3 5" xfId="1525" xr:uid="{00000000-0005-0000-0000-000071120000}"/>
    <cellStyle name="Note 2 2 3 6" xfId="2803" xr:uid="{00000000-0005-0000-0000-000072120000}"/>
    <cellStyle name="Note 2 2 3 7" xfId="4090" xr:uid="{00000000-0005-0000-0000-000073120000}"/>
    <cellStyle name="Note 2 2 3 8" xfId="5317" xr:uid="{00000000-0005-0000-0000-000074120000}"/>
    <cellStyle name="Note 2 2 4" xfId="226" xr:uid="{00000000-0005-0000-0000-000075120000}"/>
    <cellStyle name="Note 2 2 4 2" xfId="448" xr:uid="{00000000-0005-0000-0000-000076120000}"/>
    <cellStyle name="Note 2 2 4 2 2" xfId="873" xr:uid="{00000000-0005-0000-0000-000077120000}"/>
    <cellStyle name="Note 2 2 4 2 2 2" xfId="2165" xr:uid="{00000000-0005-0000-0000-000078120000}"/>
    <cellStyle name="Note 2 2 4 2 2 3" xfId="3443" xr:uid="{00000000-0005-0000-0000-000079120000}"/>
    <cellStyle name="Note 2 2 4 2 2 4" xfId="4730" xr:uid="{00000000-0005-0000-0000-00007A120000}"/>
    <cellStyle name="Note 2 2 4 2 3" xfId="1299" xr:uid="{00000000-0005-0000-0000-00007B120000}"/>
    <cellStyle name="Note 2 2 4 2 3 2" xfId="2591" xr:uid="{00000000-0005-0000-0000-00007C120000}"/>
    <cellStyle name="Note 2 2 4 2 3 3" xfId="3869" xr:uid="{00000000-0005-0000-0000-00007D120000}"/>
    <cellStyle name="Note 2 2 4 2 3 4" xfId="5156" xr:uid="{00000000-0005-0000-0000-00007E120000}"/>
    <cellStyle name="Note 2 2 4 2 4" xfId="1739" xr:uid="{00000000-0005-0000-0000-00007F120000}"/>
    <cellStyle name="Note 2 2 4 2 5" xfId="3017" xr:uid="{00000000-0005-0000-0000-000080120000}"/>
    <cellStyle name="Note 2 2 4 2 6" xfId="4304" xr:uid="{00000000-0005-0000-0000-000081120000}"/>
    <cellStyle name="Note 2 2 4 3" xfId="660" xr:uid="{00000000-0005-0000-0000-000082120000}"/>
    <cellStyle name="Note 2 2 4 3 2" xfId="1952" xr:uid="{00000000-0005-0000-0000-000083120000}"/>
    <cellStyle name="Note 2 2 4 3 3" xfId="3230" xr:uid="{00000000-0005-0000-0000-000084120000}"/>
    <cellStyle name="Note 2 2 4 3 4" xfId="4517" xr:uid="{00000000-0005-0000-0000-000085120000}"/>
    <cellStyle name="Note 2 2 4 4" xfId="1086" xr:uid="{00000000-0005-0000-0000-000086120000}"/>
    <cellStyle name="Note 2 2 4 4 2" xfId="2378" xr:uid="{00000000-0005-0000-0000-000087120000}"/>
    <cellStyle name="Note 2 2 4 4 3" xfId="3656" xr:uid="{00000000-0005-0000-0000-000088120000}"/>
    <cellStyle name="Note 2 2 4 4 4" xfId="4943" xr:uid="{00000000-0005-0000-0000-000089120000}"/>
    <cellStyle name="Note 2 2 4 5" xfId="1526" xr:uid="{00000000-0005-0000-0000-00008A120000}"/>
    <cellStyle name="Note 2 2 4 6" xfId="2804" xr:uid="{00000000-0005-0000-0000-00008B120000}"/>
    <cellStyle name="Note 2 2 4 7" xfId="4091" xr:uid="{00000000-0005-0000-0000-00008C120000}"/>
    <cellStyle name="Note 2 2 5" xfId="227" xr:uid="{00000000-0005-0000-0000-00008D120000}"/>
    <cellStyle name="Note 2 2 5 2" xfId="449" xr:uid="{00000000-0005-0000-0000-00008E120000}"/>
    <cellStyle name="Note 2 2 5 2 2" xfId="874" xr:uid="{00000000-0005-0000-0000-00008F120000}"/>
    <cellStyle name="Note 2 2 5 2 2 2" xfId="2166" xr:uid="{00000000-0005-0000-0000-000090120000}"/>
    <cellStyle name="Note 2 2 5 2 2 3" xfId="3444" xr:uid="{00000000-0005-0000-0000-000091120000}"/>
    <cellStyle name="Note 2 2 5 2 2 4" xfId="4731" xr:uid="{00000000-0005-0000-0000-000092120000}"/>
    <cellStyle name="Note 2 2 5 2 3" xfId="1300" xr:uid="{00000000-0005-0000-0000-000093120000}"/>
    <cellStyle name="Note 2 2 5 2 3 2" xfId="2592" xr:uid="{00000000-0005-0000-0000-000094120000}"/>
    <cellStyle name="Note 2 2 5 2 3 3" xfId="3870" xr:uid="{00000000-0005-0000-0000-000095120000}"/>
    <cellStyle name="Note 2 2 5 2 3 4" xfId="5157" xr:uid="{00000000-0005-0000-0000-000096120000}"/>
    <cellStyle name="Note 2 2 5 2 4" xfId="1740" xr:uid="{00000000-0005-0000-0000-000097120000}"/>
    <cellStyle name="Note 2 2 5 2 5" xfId="3018" xr:uid="{00000000-0005-0000-0000-000098120000}"/>
    <cellStyle name="Note 2 2 5 2 6" xfId="4305" xr:uid="{00000000-0005-0000-0000-000099120000}"/>
    <cellStyle name="Note 2 2 5 3" xfId="661" xr:uid="{00000000-0005-0000-0000-00009A120000}"/>
    <cellStyle name="Note 2 2 5 3 2" xfId="1953" xr:uid="{00000000-0005-0000-0000-00009B120000}"/>
    <cellStyle name="Note 2 2 5 3 3" xfId="3231" xr:uid="{00000000-0005-0000-0000-00009C120000}"/>
    <cellStyle name="Note 2 2 5 3 4" xfId="4518" xr:uid="{00000000-0005-0000-0000-00009D120000}"/>
    <cellStyle name="Note 2 2 5 4" xfId="1087" xr:uid="{00000000-0005-0000-0000-00009E120000}"/>
    <cellStyle name="Note 2 2 5 4 2" xfId="2379" xr:uid="{00000000-0005-0000-0000-00009F120000}"/>
    <cellStyle name="Note 2 2 5 4 3" xfId="3657" xr:uid="{00000000-0005-0000-0000-0000A0120000}"/>
    <cellStyle name="Note 2 2 5 4 4" xfId="4944" xr:uid="{00000000-0005-0000-0000-0000A1120000}"/>
    <cellStyle name="Note 2 2 5 5" xfId="1527" xr:uid="{00000000-0005-0000-0000-0000A2120000}"/>
    <cellStyle name="Note 2 2 5 6" xfId="2805" xr:uid="{00000000-0005-0000-0000-0000A3120000}"/>
    <cellStyle name="Note 2 2 5 7" xfId="4092" xr:uid="{00000000-0005-0000-0000-0000A4120000}"/>
    <cellStyle name="Note 2 2 6" xfId="282" xr:uid="{00000000-0005-0000-0000-0000A5120000}"/>
    <cellStyle name="Note 2 2 6 2" xfId="495" xr:uid="{00000000-0005-0000-0000-0000A6120000}"/>
    <cellStyle name="Note 2 2 6 2 2" xfId="920" xr:uid="{00000000-0005-0000-0000-0000A7120000}"/>
    <cellStyle name="Note 2 2 6 2 2 2" xfId="2212" xr:uid="{00000000-0005-0000-0000-0000A8120000}"/>
    <cellStyle name="Note 2 2 6 2 2 3" xfId="3490" xr:uid="{00000000-0005-0000-0000-0000A9120000}"/>
    <cellStyle name="Note 2 2 6 2 2 4" xfId="4777" xr:uid="{00000000-0005-0000-0000-0000AA120000}"/>
    <cellStyle name="Note 2 2 6 2 3" xfId="1346" xr:uid="{00000000-0005-0000-0000-0000AB120000}"/>
    <cellStyle name="Note 2 2 6 2 3 2" xfId="2638" xr:uid="{00000000-0005-0000-0000-0000AC120000}"/>
    <cellStyle name="Note 2 2 6 2 3 3" xfId="3916" xr:uid="{00000000-0005-0000-0000-0000AD120000}"/>
    <cellStyle name="Note 2 2 6 2 3 4" xfId="5203" xr:uid="{00000000-0005-0000-0000-0000AE120000}"/>
    <cellStyle name="Note 2 2 6 2 4" xfId="1786" xr:uid="{00000000-0005-0000-0000-0000AF120000}"/>
    <cellStyle name="Note 2 2 6 2 5" xfId="3064" xr:uid="{00000000-0005-0000-0000-0000B0120000}"/>
    <cellStyle name="Note 2 2 6 2 6" xfId="4351" xr:uid="{00000000-0005-0000-0000-0000B1120000}"/>
    <cellStyle name="Note 2 2 6 3" xfId="707" xr:uid="{00000000-0005-0000-0000-0000B2120000}"/>
    <cellStyle name="Note 2 2 6 3 2" xfId="1999" xr:uid="{00000000-0005-0000-0000-0000B3120000}"/>
    <cellStyle name="Note 2 2 6 3 3" xfId="3277" xr:uid="{00000000-0005-0000-0000-0000B4120000}"/>
    <cellStyle name="Note 2 2 6 3 4" xfId="4564" xr:uid="{00000000-0005-0000-0000-0000B5120000}"/>
    <cellStyle name="Note 2 2 6 4" xfId="1133" xr:uid="{00000000-0005-0000-0000-0000B6120000}"/>
    <cellStyle name="Note 2 2 6 4 2" xfId="2425" xr:uid="{00000000-0005-0000-0000-0000B7120000}"/>
    <cellStyle name="Note 2 2 6 4 3" xfId="3703" xr:uid="{00000000-0005-0000-0000-0000B8120000}"/>
    <cellStyle name="Note 2 2 6 4 4" xfId="4990" xr:uid="{00000000-0005-0000-0000-0000B9120000}"/>
    <cellStyle name="Note 2 2 6 5" xfId="1573" xr:uid="{00000000-0005-0000-0000-0000BA120000}"/>
    <cellStyle name="Note 2 2 6 6" xfId="2851" xr:uid="{00000000-0005-0000-0000-0000BB120000}"/>
    <cellStyle name="Note 2 2 6 7" xfId="4138" xr:uid="{00000000-0005-0000-0000-0000BC120000}"/>
    <cellStyle name="Note 2 2 7" xfId="444" xr:uid="{00000000-0005-0000-0000-0000BD120000}"/>
    <cellStyle name="Note 2 2 7 2" xfId="869" xr:uid="{00000000-0005-0000-0000-0000BE120000}"/>
    <cellStyle name="Note 2 2 7 2 2" xfId="2161" xr:uid="{00000000-0005-0000-0000-0000BF120000}"/>
    <cellStyle name="Note 2 2 7 2 3" xfId="3439" xr:uid="{00000000-0005-0000-0000-0000C0120000}"/>
    <cellStyle name="Note 2 2 7 2 4" xfId="4726" xr:uid="{00000000-0005-0000-0000-0000C1120000}"/>
    <cellStyle name="Note 2 2 7 3" xfId="1295" xr:uid="{00000000-0005-0000-0000-0000C2120000}"/>
    <cellStyle name="Note 2 2 7 3 2" xfId="2587" xr:uid="{00000000-0005-0000-0000-0000C3120000}"/>
    <cellStyle name="Note 2 2 7 3 3" xfId="3865" xr:uid="{00000000-0005-0000-0000-0000C4120000}"/>
    <cellStyle name="Note 2 2 7 3 4" xfId="5152" xr:uid="{00000000-0005-0000-0000-0000C5120000}"/>
    <cellStyle name="Note 2 2 7 4" xfId="1735" xr:uid="{00000000-0005-0000-0000-0000C6120000}"/>
    <cellStyle name="Note 2 2 7 5" xfId="3013" xr:uid="{00000000-0005-0000-0000-0000C7120000}"/>
    <cellStyle name="Note 2 2 7 6" xfId="4300" xr:uid="{00000000-0005-0000-0000-0000C8120000}"/>
    <cellStyle name="Note 2 2 8" xfId="656" xr:uid="{00000000-0005-0000-0000-0000C9120000}"/>
    <cellStyle name="Note 2 2 8 2" xfId="1948" xr:uid="{00000000-0005-0000-0000-0000CA120000}"/>
    <cellStyle name="Note 2 2 8 3" xfId="3226" xr:uid="{00000000-0005-0000-0000-0000CB120000}"/>
    <cellStyle name="Note 2 2 8 4" xfId="4513" xr:uid="{00000000-0005-0000-0000-0000CC120000}"/>
    <cellStyle name="Note 2 2 9" xfId="1082" xr:uid="{00000000-0005-0000-0000-0000CD120000}"/>
    <cellStyle name="Note 2 2 9 2" xfId="2374" xr:uid="{00000000-0005-0000-0000-0000CE120000}"/>
    <cellStyle name="Note 2 2 9 3" xfId="3652" xr:uid="{00000000-0005-0000-0000-0000CF120000}"/>
    <cellStyle name="Note 2 2 9 4" xfId="4939" xr:uid="{00000000-0005-0000-0000-0000D0120000}"/>
    <cellStyle name="Note 2 3" xfId="228" xr:uid="{00000000-0005-0000-0000-0000D1120000}"/>
    <cellStyle name="Note 2 3 2" xfId="229" xr:uid="{00000000-0005-0000-0000-0000D2120000}"/>
    <cellStyle name="Note 2 3 2 2" xfId="451" xr:uid="{00000000-0005-0000-0000-0000D3120000}"/>
    <cellStyle name="Note 2 3 2 2 2" xfId="876" xr:uid="{00000000-0005-0000-0000-0000D4120000}"/>
    <cellStyle name="Note 2 3 2 2 2 2" xfId="2168" xr:uid="{00000000-0005-0000-0000-0000D5120000}"/>
    <cellStyle name="Note 2 3 2 2 2 3" xfId="3446" xr:uid="{00000000-0005-0000-0000-0000D6120000}"/>
    <cellStyle name="Note 2 3 2 2 2 4" xfId="4733" xr:uid="{00000000-0005-0000-0000-0000D7120000}"/>
    <cellStyle name="Note 2 3 2 2 3" xfId="1302" xr:uid="{00000000-0005-0000-0000-0000D8120000}"/>
    <cellStyle name="Note 2 3 2 2 3 2" xfId="2594" xr:uid="{00000000-0005-0000-0000-0000D9120000}"/>
    <cellStyle name="Note 2 3 2 2 3 3" xfId="3872" xr:uid="{00000000-0005-0000-0000-0000DA120000}"/>
    <cellStyle name="Note 2 3 2 2 3 4" xfId="5159" xr:uid="{00000000-0005-0000-0000-0000DB120000}"/>
    <cellStyle name="Note 2 3 2 2 4" xfId="1742" xr:uid="{00000000-0005-0000-0000-0000DC120000}"/>
    <cellStyle name="Note 2 3 2 2 5" xfId="3020" xr:uid="{00000000-0005-0000-0000-0000DD120000}"/>
    <cellStyle name="Note 2 3 2 2 6" xfId="4307" xr:uid="{00000000-0005-0000-0000-0000DE120000}"/>
    <cellStyle name="Note 2 3 2 3" xfId="663" xr:uid="{00000000-0005-0000-0000-0000DF120000}"/>
    <cellStyle name="Note 2 3 2 3 2" xfId="1955" xr:uid="{00000000-0005-0000-0000-0000E0120000}"/>
    <cellStyle name="Note 2 3 2 3 3" xfId="3233" xr:uid="{00000000-0005-0000-0000-0000E1120000}"/>
    <cellStyle name="Note 2 3 2 3 4" xfId="4520" xr:uid="{00000000-0005-0000-0000-0000E2120000}"/>
    <cellStyle name="Note 2 3 2 4" xfId="1089" xr:uid="{00000000-0005-0000-0000-0000E3120000}"/>
    <cellStyle name="Note 2 3 2 4 2" xfId="2381" xr:uid="{00000000-0005-0000-0000-0000E4120000}"/>
    <cellStyle name="Note 2 3 2 4 3" xfId="3659" xr:uid="{00000000-0005-0000-0000-0000E5120000}"/>
    <cellStyle name="Note 2 3 2 4 4" xfId="4946" xr:uid="{00000000-0005-0000-0000-0000E6120000}"/>
    <cellStyle name="Note 2 3 2 5" xfId="1529" xr:uid="{00000000-0005-0000-0000-0000E7120000}"/>
    <cellStyle name="Note 2 3 2 6" xfId="2807" xr:uid="{00000000-0005-0000-0000-0000E8120000}"/>
    <cellStyle name="Note 2 3 2 7" xfId="4094" xr:uid="{00000000-0005-0000-0000-0000E9120000}"/>
    <cellStyle name="Note 2 3 2 8" xfId="5319" xr:uid="{00000000-0005-0000-0000-0000EA120000}"/>
    <cellStyle name="Note 2 3 3" xfId="450" xr:uid="{00000000-0005-0000-0000-0000EB120000}"/>
    <cellStyle name="Note 2 3 3 2" xfId="875" xr:uid="{00000000-0005-0000-0000-0000EC120000}"/>
    <cellStyle name="Note 2 3 3 2 2" xfId="2167" xr:uid="{00000000-0005-0000-0000-0000ED120000}"/>
    <cellStyle name="Note 2 3 3 2 3" xfId="3445" xr:uid="{00000000-0005-0000-0000-0000EE120000}"/>
    <cellStyle name="Note 2 3 3 2 4" xfId="4732" xr:uid="{00000000-0005-0000-0000-0000EF120000}"/>
    <cellStyle name="Note 2 3 3 3" xfId="1301" xr:uid="{00000000-0005-0000-0000-0000F0120000}"/>
    <cellStyle name="Note 2 3 3 3 2" xfId="2593" xr:uid="{00000000-0005-0000-0000-0000F1120000}"/>
    <cellStyle name="Note 2 3 3 3 3" xfId="3871" xr:uid="{00000000-0005-0000-0000-0000F2120000}"/>
    <cellStyle name="Note 2 3 3 3 4" xfId="5158" xr:uid="{00000000-0005-0000-0000-0000F3120000}"/>
    <cellStyle name="Note 2 3 3 4" xfId="1741" xr:uid="{00000000-0005-0000-0000-0000F4120000}"/>
    <cellStyle name="Note 2 3 3 5" xfId="3019" xr:uid="{00000000-0005-0000-0000-0000F5120000}"/>
    <cellStyle name="Note 2 3 3 6" xfId="4306" xr:uid="{00000000-0005-0000-0000-0000F6120000}"/>
    <cellStyle name="Note 2 3 4" xfId="662" xr:uid="{00000000-0005-0000-0000-0000F7120000}"/>
    <cellStyle name="Note 2 3 4 2" xfId="1954" xr:uid="{00000000-0005-0000-0000-0000F8120000}"/>
    <cellStyle name="Note 2 3 4 3" xfId="3232" xr:uid="{00000000-0005-0000-0000-0000F9120000}"/>
    <cellStyle name="Note 2 3 4 4" xfId="4519" xr:uid="{00000000-0005-0000-0000-0000FA120000}"/>
    <cellStyle name="Note 2 3 5" xfId="1088" xr:uid="{00000000-0005-0000-0000-0000FB120000}"/>
    <cellStyle name="Note 2 3 5 2" xfId="2380" xr:uid="{00000000-0005-0000-0000-0000FC120000}"/>
    <cellStyle name="Note 2 3 5 3" xfId="3658" xr:uid="{00000000-0005-0000-0000-0000FD120000}"/>
    <cellStyle name="Note 2 3 5 4" xfId="4945" xr:uid="{00000000-0005-0000-0000-0000FE120000}"/>
    <cellStyle name="Note 2 3 6" xfId="1528" xr:uid="{00000000-0005-0000-0000-0000FF120000}"/>
    <cellStyle name="Note 2 3 7" xfId="2806" xr:uid="{00000000-0005-0000-0000-000000130000}"/>
    <cellStyle name="Note 2 3 8" xfId="4093" xr:uid="{00000000-0005-0000-0000-000001130000}"/>
    <cellStyle name="Note 2 3 9" xfId="5318" xr:uid="{00000000-0005-0000-0000-000002130000}"/>
    <cellStyle name="Note 2 4" xfId="230" xr:uid="{00000000-0005-0000-0000-000003130000}"/>
    <cellStyle name="Note 2 4 2" xfId="452" xr:uid="{00000000-0005-0000-0000-000004130000}"/>
    <cellStyle name="Note 2 4 2 2" xfId="877" xr:uid="{00000000-0005-0000-0000-000005130000}"/>
    <cellStyle name="Note 2 4 2 2 2" xfId="2169" xr:uid="{00000000-0005-0000-0000-000006130000}"/>
    <cellStyle name="Note 2 4 2 2 3" xfId="3447" xr:uid="{00000000-0005-0000-0000-000007130000}"/>
    <cellStyle name="Note 2 4 2 2 4" xfId="4734" xr:uid="{00000000-0005-0000-0000-000008130000}"/>
    <cellStyle name="Note 2 4 2 3" xfId="1303" xr:uid="{00000000-0005-0000-0000-000009130000}"/>
    <cellStyle name="Note 2 4 2 3 2" xfId="2595" xr:uid="{00000000-0005-0000-0000-00000A130000}"/>
    <cellStyle name="Note 2 4 2 3 3" xfId="3873" xr:uid="{00000000-0005-0000-0000-00000B130000}"/>
    <cellStyle name="Note 2 4 2 3 4" xfId="5160" xr:uid="{00000000-0005-0000-0000-00000C130000}"/>
    <cellStyle name="Note 2 4 2 4" xfId="1743" xr:uid="{00000000-0005-0000-0000-00000D130000}"/>
    <cellStyle name="Note 2 4 2 5" xfId="3021" xr:uid="{00000000-0005-0000-0000-00000E130000}"/>
    <cellStyle name="Note 2 4 2 6" xfId="4308" xr:uid="{00000000-0005-0000-0000-00000F130000}"/>
    <cellStyle name="Note 2 4 3" xfId="664" xr:uid="{00000000-0005-0000-0000-000010130000}"/>
    <cellStyle name="Note 2 4 3 2" xfId="1956" xr:uid="{00000000-0005-0000-0000-000011130000}"/>
    <cellStyle name="Note 2 4 3 3" xfId="3234" xr:uid="{00000000-0005-0000-0000-000012130000}"/>
    <cellStyle name="Note 2 4 3 4" xfId="4521" xr:uid="{00000000-0005-0000-0000-000013130000}"/>
    <cellStyle name="Note 2 4 4" xfId="1090" xr:uid="{00000000-0005-0000-0000-000014130000}"/>
    <cellStyle name="Note 2 4 4 2" xfId="2382" xr:uid="{00000000-0005-0000-0000-000015130000}"/>
    <cellStyle name="Note 2 4 4 3" xfId="3660" xr:uid="{00000000-0005-0000-0000-000016130000}"/>
    <cellStyle name="Note 2 4 4 4" xfId="4947" xr:uid="{00000000-0005-0000-0000-000017130000}"/>
    <cellStyle name="Note 2 4 5" xfId="1530" xr:uid="{00000000-0005-0000-0000-000018130000}"/>
    <cellStyle name="Note 2 4 6" xfId="2808" xr:uid="{00000000-0005-0000-0000-000019130000}"/>
    <cellStyle name="Note 2 4 7" xfId="4095" xr:uid="{00000000-0005-0000-0000-00001A130000}"/>
    <cellStyle name="Note 2 4 8" xfId="5320" xr:uid="{00000000-0005-0000-0000-00001B130000}"/>
    <cellStyle name="Note 2 5" xfId="231" xr:uid="{00000000-0005-0000-0000-00001C130000}"/>
    <cellStyle name="Note 2 5 2" xfId="453" xr:uid="{00000000-0005-0000-0000-00001D130000}"/>
    <cellStyle name="Note 2 5 2 2" xfId="878" xr:uid="{00000000-0005-0000-0000-00001E130000}"/>
    <cellStyle name="Note 2 5 2 2 2" xfId="2170" xr:uid="{00000000-0005-0000-0000-00001F130000}"/>
    <cellStyle name="Note 2 5 2 2 3" xfId="3448" xr:uid="{00000000-0005-0000-0000-000020130000}"/>
    <cellStyle name="Note 2 5 2 2 4" xfId="4735" xr:uid="{00000000-0005-0000-0000-000021130000}"/>
    <cellStyle name="Note 2 5 2 3" xfId="1304" xr:uid="{00000000-0005-0000-0000-000022130000}"/>
    <cellStyle name="Note 2 5 2 3 2" xfId="2596" xr:uid="{00000000-0005-0000-0000-000023130000}"/>
    <cellStyle name="Note 2 5 2 3 3" xfId="3874" xr:uid="{00000000-0005-0000-0000-000024130000}"/>
    <cellStyle name="Note 2 5 2 3 4" xfId="5161" xr:uid="{00000000-0005-0000-0000-000025130000}"/>
    <cellStyle name="Note 2 5 2 4" xfId="1744" xr:uid="{00000000-0005-0000-0000-000026130000}"/>
    <cellStyle name="Note 2 5 2 5" xfId="3022" xr:uid="{00000000-0005-0000-0000-000027130000}"/>
    <cellStyle name="Note 2 5 2 6" xfId="4309" xr:uid="{00000000-0005-0000-0000-000028130000}"/>
    <cellStyle name="Note 2 5 3" xfId="665" xr:uid="{00000000-0005-0000-0000-000029130000}"/>
    <cellStyle name="Note 2 5 3 2" xfId="1957" xr:uid="{00000000-0005-0000-0000-00002A130000}"/>
    <cellStyle name="Note 2 5 3 3" xfId="3235" xr:uid="{00000000-0005-0000-0000-00002B130000}"/>
    <cellStyle name="Note 2 5 3 4" xfId="4522" xr:uid="{00000000-0005-0000-0000-00002C130000}"/>
    <cellStyle name="Note 2 5 4" xfId="1091" xr:uid="{00000000-0005-0000-0000-00002D130000}"/>
    <cellStyle name="Note 2 5 4 2" xfId="2383" xr:uid="{00000000-0005-0000-0000-00002E130000}"/>
    <cellStyle name="Note 2 5 4 3" xfId="3661" xr:uid="{00000000-0005-0000-0000-00002F130000}"/>
    <cellStyle name="Note 2 5 4 4" xfId="4948" xr:uid="{00000000-0005-0000-0000-000030130000}"/>
    <cellStyle name="Note 2 5 5" xfId="1531" xr:uid="{00000000-0005-0000-0000-000031130000}"/>
    <cellStyle name="Note 2 5 6" xfId="2809" xr:uid="{00000000-0005-0000-0000-000032130000}"/>
    <cellStyle name="Note 2 5 7" xfId="4096" xr:uid="{00000000-0005-0000-0000-000033130000}"/>
    <cellStyle name="Note 2 6" xfId="232" xr:uid="{00000000-0005-0000-0000-000034130000}"/>
    <cellStyle name="Note 2 6 2" xfId="454" xr:uid="{00000000-0005-0000-0000-000035130000}"/>
    <cellStyle name="Note 2 6 2 2" xfId="879" xr:uid="{00000000-0005-0000-0000-000036130000}"/>
    <cellStyle name="Note 2 6 2 2 2" xfId="2171" xr:uid="{00000000-0005-0000-0000-000037130000}"/>
    <cellStyle name="Note 2 6 2 2 3" xfId="3449" xr:uid="{00000000-0005-0000-0000-000038130000}"/>
    <cellStyle name="Note 2 6 2 2 4" xfId="4736" xr:uid="{00000000-0005-0000-0000-000039130000}"/>
    <cellStyle name="Note 2 6 2 3" xfId="1305" xr:uid="{00000000-0005-0000-0000-00003A130000}"/>
    <cellStyle name="Note 2 6 2 3 2" xfId="2597" xr:uid="{00000000-0005-0000-0000-00003B130000}"/>
    <cellStyle name="Note 2 6 2 3 3" xfId="3875" xr:uid="{00000000-0005-0000-0000-00003C130000}"/>
    <cellStyle name="Note 2 6 2 3 4" xfId="5162" xr:uid="{00000000-0005-0000-0000-00003D130000}"/>
    <cellStyle name="Note 2 6 2 4" xfId="1745" xr:uid="{00000000-0005-0000-0000-00003E130000}"/>
    <cellStyle name="Note 2 6 2 5" xfId="3023" xr:uid="{00000000-0005-0000-0000-00003F130000}"/>
    <cellStyle name="Note 2 6 2 6" xfId="4310" xr:uid="{00000000-0005-0000-0000-000040130000}"/>
    <cellStyle name="Note 2 6 3" xfId="666" xr:uid="{00000000-0005-0000-0000-000041130000}"/>
    <cellStyle name="Note 2 6 3 2" xfId="1958" xr:uid="{00000000-0005-0000-0000-000042130000}"/>
    <cellStyle name="Note 2 6 3 3" xfId="3236" xr:uid="{00000000-0005-0000-0000-000043130000}"/>
    <cellStyle name="Note 2 6 3 4" xfId="4523" xr:uid="{00000000-0005-0000-0000-000044130000}"/>
    <cellStyle name="Note 2 6 4" xfId="1092" xr:uid="{00000000-0005-0000-0000-000045130000}"/>
    <cellStyle name="Note 2 6 4 2" xfId="2384" xr:uid="{00000000-0005-0000-0000-000046130000}"/>
    <cellStyle name="Note 2 6 4 3" xfId="3662" xr:uid="{00000000-0005-0000-0000-000047130000}"/>
    <cellStyle name="Note 2 6 4 4" xfId="4949" xr:uid="{00000000-0005-0000-0000-000048130000}"/>
    <cellStyle name="Note 2 6 5" xfId="1532" xr:uid="{00000000-0005-0000-0000-000049130000}"/>
    <cellStyle name="Note 2 6 6" xfId="2810" xr:uid="{00000000-0005-0000-0000-00004A130000}"/>
    <cellStyle name="Note 2 6 7" xfId="4097" xr:uid="{00000000-0005-0000-0000-00004B130000}"/>
    <cellStyle name="Note 2 7" xfId="267" xr:uid="{00000000-0005-0000-0000-00004C130000}"/>
    <cellStyle name="Note 2 7 2" xfId="480" xr:uid="{00000000-0005-0000-0000-00004D130000}"/>
    <cellStyle name="Note 2 7 2 2" xfId="905" xr:uid="{00000000-0005-0000-0000-00004E130000}"/>
    <cellStyle name="Note 2 7 2 2 2" xfId="2197" xr:uid="{00000000-0005-0000-0000-00004F130000}"/>
    <cellStyle name="Note 2 7 2 2 3" xfId="3475" xr:uid="{00000000-0005-0000-0000-000050130000}"/>
    <cellStyle name="Note 2 7 2 2 4" xfId="4762" xr:uid="{00000000-0005-0000-0000-000051130000}"/>
    <cellStyle name="Note 2 7 2 3" xfId="1331" xr:uid="{00000000-0005-0000-0000-000052130000}"/>
    <cellStyle name="Note 2 7 2 3 2" xfId="2623" xr:uid="{00000000-0005-0000-0000-000053130000}"/>
    <cellStyle name="Note 2 7 2 3 3" xfId="3901" xr:uid="{00000000-0005-0000-0000-000054130000}"/>
    <cellStyle name="Note 2 7 2 3 4" xfId="5188" xr:uid="{00000000-0005-0000-0000-000055130000}"/>
    <cellStyle name="Note 2 7 2 4" xfId="1771" xr:uid="{00000000-0005-0000-0000-000056130000}"/>
    <cellStyle name="Note 2 7 2 5" xfId="3049" xr:uid="{00000000-0005-0000-0000-000057130000}"/>
    <cellStyle name="Note 2 7 2 6" xfId="4336" xr:uid="{00000000-0005-0000-0000-000058130000}"/>
    <cellStyle name="Note 2 7 3" xfId="692" xr:uid="{00000000-0005-0000-0000-000059130000}"/>
    <cellStyle name="Note 2 7 3 2" xfId="1984" xr:uid="{00000000-0005-0000-0000-00005A130000}"/>
    <cellStyle name="Note 2 7 3 3" xfId="3262" xr:uid="{00000000-0005-0000-0000-00005B130000}"/>
    <cellStyle name="Note 2 7 3 4" xfId="4549" xr:uid="{00000000-0005-0000-0000-00005C130000}"/>
    <cellStyle name="Note 2 7 4" xfId="1118" xr:uid="{00000000-0005-0000-0000-00005D130000}"/>
    <cellStyle name="Note 2 7 4 2" xfId="2410" xr:uid="{00000000-0005-0000-0000-00005E130000}"/>
    <cellStyle name="Note 2 7 4 3" xfId="3688" xr:uid="{00000000-0005-0000-0000-00005F130000}"/>
    <cellStyle name="Note 2 7 4 4" xfId="4975" xr:uid="{00000000-0005-0000-0000-000060130000}"/>
    <cellStyle name="Note 2 7 5" xfId="1558" xr:uid="{00000000-0005-0000-0000-000061130000}"/>
    <cellStyle name="Note 2 7 6" xfId="2836" xr:uid="{00000000-0005-0000-0000-000062130000}"/>
    <cellStyle name="Note 2 7 7" xfId="4123" xr:uid="{00000000-0005-0000-0000-000063130000}"/>
    <cellStyle name="Note 2 8" xfId="443" xr:uid="{00000000-0005-0000-0000-000064130000}"/>
    <cellStyle name="Note 2 8 2" xfId="868" xr:uid="{00000000-0005-0000-0000-000065130000}"/>
    <cellStyle name="Note 2 8 2 2" xfId="2160" xr:uid="{00000000-0005-0000-0000-000066130000}"/>
    <cellStyle name="Note 2 8 2 3" xfId="3438" xr:uid="{00000000-0005-0000-0000-000067130000}"/>
    <cellStyle name="Note 2 8 2 4" xfId="4725" xr:uid="{00000000-0005-0000-0000-000068130000}"/>
    <cellStyle name="Note 2 8 3" xfId="1294" xr:uid="{00000000-0005-0000-0000-000069130000}"/>
    <cellStyle name="Note 2 8 3 2" xfId="2586" xr:uid="{00000000-0005-0000-0000-00006A130000}"/>
    <cellStyle name="Note 2 8 3 3" xfId="3864" xr:uid="{00000000-0005-0000-0000-00006B130000}"/>
    <cellStyle name="Note 2 8 3 4" xfId="5151" xr:uid="{00000000-0005-0000-0000-00006C130000}"/>
    <cellStyle name="Note 2 8 4" xfId="1734" xr:uid="{00000000-0005-0000-0000-00006D130000}"/>
    <cellStyle name="Note 2 8 5" xfId="3012" xr:uid="{00000000-0005-0000-0000-00006E130000}"/>
    <cellStyle name="Note 2 8 6" xfId="4299" xr:uid="{00000000-0005-0000-0000-00006F130000}"/>
    <cellStyle name="Note 2 9" xfId="655" xr:uid="{00000000-0005-0000-0000-000070130000}"/>
    <cellStyle name="Note 2 9 2" xfId="1947" xr:uid="{00000000-0005-0000-0000-000071130000}"/>
    <cellStyle name="Note 2 9 3" xfId="3225" xr:uid="{00000000-0005-0000-0000-000072130000}"/>
    <cellStyle name="Note 2 9 4" xfId="4512" xr:uid="{00000000-0005-0000-0000-000073130000}"/>
    <cellStyle name="Note 3" xfId="38" xr:uid="{00000000-0005-0000-0000-000074130000}"/>
    <cellStyle name="Note 3 10" xfId="1093" xr:uid="{00000000-0005-0000-0000-000075130000}"/>
    <cellStyle name="Note 3 10 2" xfId="2385" xr:uid="{00000000-0005-0000-0000-000076130000}"/>
    <cellStyle name="Note 3 10 3" xfId="3663" xr:uid="{00000000-0005-0000-0000-000077130000}"/>
    <cellStyle name="Note 3 10 4" xfId="4950" xr:uid="{00000000-0005-0000-0000-000078130000}"/>
    <cellStyle name="Note 3 11" xfId="1533" xr:uid="{00000000-0005-0000-0000-000079130000}"/>
    <cellStyle name="Note 3 12" xfId="2811" xr:uid="{00000000-0005-0000-0000-00007A130000}"/>
    <cellStyle name="Note 3 13" xfId="4098" xr:uid="{00000000-0005-0000-0000-00007B130000}"/>
    <cellStyle name="Note 3 14" xfId="5321" xr:uid="{00000000-0005-0000-0000-00007C130000}"/>
    <cellStyle name="Note 3 2" xfId="39" xr:uid="{00000000-0005-0000-0000-00007D130000}"/>
    <cellStyle name="Note 3 2 10" xfId="1534" xr:uid="{00000000-0005-0000-0000-00007E130000}"/>
    <cellStyle name="Note 3 2 11" xfId="2812" xr:uid="{00000000-0005-0000-0000-00007F130000}"/>
    <cellStyle name="Note 3 2 12" xfId="4099" xr:uid="{00000000-0005-0000-0000-000080130000}"/>
    <cellStyle name="Note 3 2 13" xfId="5322" xr:uid="{00000000-0005-0000-0000-000081130000}"/>
    <cellStyle name="Note 3 2 2" xfId="233" xr:uid="{00000000-0005-0000-0000-000082130000}"/>
    <cellStyle name="Note 3 2 2 2" xfId="234" xr:uid="{00000000-0005-0000-0000-000083130000}"/>
    <cellStyle name="Note 3 2 2 2 2" xfId="458" xr:uid="{00000000-0005-0000-0000-000084130000}"/>
    <cellStyle name="Note 3 2 2 2 2 2" xfId="883" xr:uid="{00000000-0005-0000-0000-000085130000}"/>
    <cellStyle name="Note 3 2 2 2 2 2 2" xfId="2175" xr:uid="{00000000-0005-0000-0000-000086130000}"/>
    <cellStyle name="Note 3 2 2 2 2 2 3" xfId="3453" xr:uid="{00000000-0005-0000-0000-000087130000}"/>
    <cellStyle name="Note 3 2 2 2 2 2 4" xfId="4740" xr:uid="{00000000-0005-0000-0000-000088130000}"/>
    <cellStyle name="Note 3 2 2 2 2 3" xfId="1309" xr:uid="{00000000-0005-0000-0000-000089130000}"/>
    <cellStyle name="Note 3 2 2 2 2 3 2" xfId="2601" xr:uid="{00000000-0005-0000-0000-00008A130000}"/>
    <cellStyle name="Note 3 2 2 2 2 3 3" xfId="3879" xr:uid="{00000000-0005-0000-0000-00008B130000}"/>
    <cellStyle name="Note 3 2 2 2 2 3 4" xfId="5166" xr:uid="{00000000-0005-0000-0000-00008C130000}"/>
    <cellStyle name="Note 3 2 2 2 2 4" xfId="1749" xr:uid="{00000000-0005-0000-0000-00008D130000}"/>
    <cellStyle name="Note 3 2 2 2 2 5" xfId="3027" xr:uid="{00000000-0005-0000-0000-00008E130000}"/>
    <cellStyle name="Note 3 2 2 2 2 6" xfId="4314" xr:uid="{00000000-0005-0000-0000-00008F130000}"/>
    <cellStyle name="Note 3 2 2 2 3" xfId="670" xr:uid="{00000000-0005-0000-0000-000090130000}"/>
    <cellStyle name="Note 3 2 2 2 3 2" xfId="1962" xr:uid="{00000000-0005-0000-0000-000091130000}"/>
    <cellStyle name="Note 3 2 2 2 3 3" xfId="3240" xr:uid="{00000000-0005-0000-0000-000092130000}"/>
    <cellStyle name="Note 3 2 2 2 3 4" xfId="4527" xr:uid="{00000000-0005-0000-0000-000093130000}"/>
    <cellStyle name="Note 3 2 2 2 4" xfId="1096" xr:uid="{00000000-0005-0000-0000-000094130000}"/>
    <cellStyle name="Note 3 2 2 2 4 2" xfId="2388" xr:uid="{00000000-0005-0000-0000-000095130000}"/>
    <cellStyle name="Note 3 2 2 2 4 3" xfId="3666" xr:uid="{00000000-0005-0000-0000-000096130000}"/>
    <cellStyle name="Note 3 2 2 2 4 4" xfId="4953" xr:uid="{00000000-0005-0000-0000-000097130000}"/>
    <cellStyle name="Note 3 2 2 2 5" xfId="1536" xr:uid="{00000000-0005-0000-0000-000098130000}"/>
    <cellStyle name="Note 3 2 2 2 6" xfId="2814" xr:uid="{00000000-0005-0000-0000-000099130000}"/>
    <cellStyle name="Note 3 2 2 2 7" xfId="4101" xr:uid="{00000000-0005-0000-0000-00009A130000}"/>
    <cellStyle name="Note 3 2 2 2 8" xfId="5324" xr:uid="{00000000-0005-0000-0000-00009B130000}"/>
    <cellStyle name="Note 3 2 2 3" xfId="457" xr:uid="{00000000-0005-0000-0000-00009C130000}"/>
    <cellStyle name="Note 3 2 2 3 2" xfId="882" xr:uid="{00000000-0005-0000-0000-00009D130000}"/>
    <cellStyle name="Note 3 2 2 3 2 2" xfId="2174" xr:uid="{00000000-0005-0000-0000-00009E130000}"/>
    <cellStyle name="Note 3 2 2 3 2 3" xfId="3452" xr:uid="{00000000-0005-0000-0000-00009F130000}"/>
    <cellStyle name="Note 3 2 2 3 2 4" xfId="4739" xr:uid="{00000000-0005-0000-0000-0000A0130000}"/>
    <cellStyle name="Note 3 2 2 3 3" xfId="1308" xr:uid="{00000000-0005-0000-0000-0000A1130000}"/>
    <cellStyle name="Note 3 2 2 3 3 2" xfId="2600" xr:uid="{00000000-0005-0000-0000-0000A2130000}"/>
    <cellStyle name="Note 3 2 2 3 3 3" xfId="3878" xr:uid="{00000000-0005-0000-0000-0000A3130000}"/>
    <cellStyle name="Note 3 2 2 3 3 4" xfId="5165" xr:uid="{00000000-0005-0000-0000-0000A4130000}"/>
    <cellStyle name="Note 3 2 2 3 4" xfId="1748" xr:uid="{00000000-0005-0000-0000-0000A5130000}"/>
    <cellStyle name="Note 3 2 2 3 5" xfId="3026" xr:uid="{00000000-0005-0000-0000-0000A6130000}"/>
    <cellStyle name="Note 3 2 2 3 6" xfId="4313" xr:uid="{00000000-0005-0000-0000-0000A7130000}"/>
    <cellStyle name="Note 3 2 2 4" xfId="669" xr:uid="{00000000-0005-0000-0000-0000A8130000}"/>
    <cellStyle name="Note 3 2 2 4 2" xfId="1961" xr:uid="{00000000-0005-0000-0000-0000A9130000}"/>
    <cellStyle name="Note 3 2 2 4 3" xfId="3239" xr:uid="{00000000-0005-0000-0000-0000AA130000}"/>
    <cellStyle name="Note 3 2 2 4 4" xfId="4526" xr:uid="{00000000-0005-0000-0000-0000AB130000}"/>
    <cellStyle name="Note 3 2 2 5" xfId="1095" xr:uid="{00000000-0005-0000-0000-0000AC130000}"/>
    <cellStyle name="Note 3 2 2 5 2" xfId="2387" xr:uid="{00000000-0005-0000-0000-0000AD130000}"/>
    <cellStyle name="Note 3 2 2 5 3" xfId="3665" xr:uid="{00000000-0005-0000-0000-0000AE130000}"/>
    <cellStyle name="Note 3 2 2 5 4" xfId="4952" xr:uid="{00000000-0005-0000-0000-0000AF130000}"/>
    <cellStyle name="Note 3 2 2 6" xfId="1535" xr:uid="{00000000-0005-0000-0000-0000B0130000}"/>
    <cellStyle name="Note 3 2 2 7" xfId="2813" xr:uid="{00000000-0005-0000-0000-0000B1130000}"/>
    <cellStyle name="Note 3 2 2 8" xfId="4100" xr:uid="{00000000-0005-0000-0000-0000B2130000}"/>
    <cellStyle name="Note 3 2 2 9" xfId="5323" xr:uid="{00000000-0005-0000-0000-0000B3130000}"/>
    <cellStyle name="Note 3 2 3" xfId="235" xr:uid="{00000000-0005-0000-0000-0000B4130000}"/>
    <cellStyle name="Note 3 2 3 2" xfId="459" xr:uid="{00000000-0005-0000-0000-0000B5130000}"/>
    <cellStyle name="Note 3 2 3 2 2" xfId="884" xr:uid="{00000000-0005-0000-0000-0000B6130000}"/>
    <cellStyle name="Note 3 2 3 2 2 2" xfId="2176" xr:uid="{00000000-0005-0000-0000-0000B7130000}"/>
    <cellStyle name="Note 3 2 3 2 2 3" xfId="3454" xr:uid="{00000000-0005-0000-0000-0000B8130000}"/>
    <cellStyle name="Note 3 2 3 2 2 4" xfId="4741" xr:uid="{00000000-0005-0000-0000-0000B9130000}"/>
    <cellStyle name="Note 3 2 3 2 3" xfId="1310" xr:uid="{00000000-0005-0000-0000-0000BA130000}"/>
    <cellStyle name="Note 3 2 3 2 3 2" xfId="2602" xr:uid="{00000000-0005-0000-0000-0000BB130000}"/>
    <cellStyle name="Note 3 2 3 2 3 3" xfId="3880" xr:uid="{00000000-0005-0000-0000-0000BC130000}"/>
    <cellStyle name="Note 3 2 3 2 3 4" xfId="5167" xr:uid="{00000000-0005-0000-0000-0000BD130000}"/>
    <cellStyle name="Note 3 2 3 2 4" xfId="1750" xr:uid="{00000000-0005-0000-0000-0000BE130000}"/>
    <cellStyle name="Note 3 2 3 2 5" xfId="3028" xr:uid="{00000000-0005-0000-0000-0000BF130000}"/>
    <cellStyle name="Note 3 2 3 2 6" xfId="4315" xr:uid="{00000000-0005-0000-0000-0000C0130000}"/>
    <cellStyle name="Note 3 2 3 3" xfId="671" xr:uid="{00000000-0005-0000-0000-0000C1130000}"/>
    <cellStyle name="Note 3 2 3 3 2" xfId="1963" xr:uid="{00000000-0005-0000-0000-0000C2130000}"/>
    <cellStyle name="Note 3 2 3 3 3" xfId="3241" xr:uid="{00000000-0005-0000-0000-0000C3130000}"/>
    <cellStyle name="Note 3 2 3 3 4" xfId="4528" xr:uid="{00000000-0005-0000-0000-0000C4130000}"/>
    <cellStyle name="Note 3 2 3 4" xfId="1097" xr:uid="{00000000-0005-0000-0000-0000C5130000}"/>
    <cellStyle name="Note 3 2 3 4 2" xfId="2389" xr:uid="{00000000-0005-0000-0000-0000C6130000}"/>
    <cellStyle name="Note 3 2 3 4 3" xfId="3667" xr:uid="{00000000-0005-0000-0000-0000C7130000}"/>
    <cellStyle name="Note 3 2 3 4 4" xfId="4954" xr:uid="{00000000-0005-0000-0000-0000C8130000}"/>
    <cellStyle name="Note 3 2 3 5" xfId="1537" xr:uid="{00000000-0005-0000-0000-0000C9130000}"/>
    <cellStyle name="Note 3 2 3 6" xfId="2815" xr:uid="{00000000-0005-0000-0000-0000CA130000}"/>
    <cellStyle name="Note 3 2 3 7" xfId="4102" xr:uid="{00000000-0005-0000-0000-0000CB130000}"/>
    <cellStyle name="Note 3 2 3 8" xfId="5325" xr:uid="{00000000-0005-0000-0000-0000CC130000}"/>
    <cellStyle name="Note 3 2 4" xfId="236" xr:uid="{00000000-0005-0000-0000-0000CD130000}"/>
    <cellStyle name="Note 3 2 4 2" xfId="460" xr:uid="{00000000-0005-0000-0000-0000CE130000}"/>
    <cellStyle name="Note 3 2 4 2 2" xfId="885" xr:uid="{00000000-0005-0000-0000-0000CF130000}"/>
    <cellStyle name="Note 3 2 4 2 2 2" xfId="2177" xr:uid="{00000000-0005-0000-0000-0000D0130000}"/>
    <cellStyle name="Note 3 2 4 2 2 3" xfId="3455" xr:uid="{00000000-0005-0000-0000-0000D1130000}"/>
    <cellStyle name="Note 3 2 4 2 2 4" xfId="4742" xr:uid="{00000000-0005-0000-0000-0000D2130000}"/>
    <cellStyle name="Note 3 2 4 2 3" xfId="1311" xr:uid="{00000000-0005-0000-0000-0000D3130000}"/>
    <cellStyle name="Note 3 2 4 2 3 2" xfId="2603" xr:uid="{00000000-0005-0000-0000-0000D4130000}"/>
    <cellStyle name="Note 3 2 4 2 3 3" xfId="3881" xr:uid="{00000000-0005-0000-0000-0000D5130000}"/>
    <cellStyle name="Note 3 2 4 2 3 4" xfId="5168" xr:uid="{00000000-0005-0000-0000-0000D6130000}"/>
    <cellStyle name="Note 3 2 4 2 4" xfId="1751" xr:uid="{00000000-0005-0000-0000-0000D7130000}"/>
    <cellStyle name="Note 3 2 4 2 5" xfId="3029" xr:uid="{00000000-0005-0000-0000-0000D8130000}"/>
    <cellStyle name="Note 3 2 4 2 6" xfId="4316" xr:uid="{00000000-0005-0000-0000-0000D9130000}"/>
    <cellStyle name="Note 3 2 4 3" xfId="672" xr:uid="{00000000-0005-0000-0000-0000DA130000}"/>
    <cellStyle name="Note 3 2 4 3 2" xfId="1964" xr:uid="{00000000-0005-0000-0000-0000DB130000}"/>
    <cellStyle name="Note 3 2 4 3 3" xfId="3242" xr:uid="{00000000-0005-0000-0000-0000DC130000}"/>
    <cellStyle name="Note 3 2 4 3 4" xfId="4529" xr:uid="{00000000-0005-0000-0000-0000DD130000}"/>
    <cellStyle name="Note 3 2 4 4" xfId="1098" xr:uid="{00000000-0005-0000-0000-0000DE130000}"/>
    <cellStyle name="Note 3 2 4 4 2" xfId="2390" xr:uid="{00000000-0005-0000-0000-0000DF130000}"/>
    <cellStyle name="Note 3 2 4 4 3" xfId="3668" xr:uid="{00000000-0005-0000-0000-0000E0130000}"/>
    <cellStyle name="Note 3 2 4 4 4" xfId="4955" xr:uid="{00000000-0005-0000-0000-0000E1130000}"/>
    <cellStyle name="Note 3 2 4 5" xfId="1538" xr:uid="{00000000-0005-0000-0000-0000E2130000}"/>
    <cellStyle name="Note 3 2 4 6" xfId="2816" xr:uid="{00000000-0005-0000-0000-0000E3130000}"/>
    <cellStyle name="Note 3 2 4 7" xfId="4103" xr:uid="{00000000-0005-0000-0000-0000E4130000}"/>
    <cellStyle name="Note 3 2 5" xfId="237" xr:uid="{00000000-0005-0000-0000-0000E5130000}"/>
    <cellStyle name="Note 3 2 5 2" xfId="461" xr:uid="{00000000-0005-0000-0000-0000E6130000}"/>
    <cellStyle name="Note 3 2 5 2 2" xfId="886" xr:uid="{00000000-0005-0000-0000-0000E7130000}"/>
    <cellStyle name="Note 3 2 5 2 2 2" xfId="2178" xr:uid="{00000000-0005-0000-0000-0000E8130000}"/>
    <cellStyle name="Note 3 2 5 2 2 3" xfId="3456" xr:uid="{00000000-0005-0000-0000-0000E9130000}"/>
    <cellStyle name="Note 3 2 5 2 2 4" xfId="4743" xr:uid="{00000000-0005-0000-0000-0000EA130000}"/>
    <cellStyle name="Note 3 2 5 2 3" xfId="1312" xr:uid="{00000000-0005-0000-0000-0000EB130000}"/>
    <cellStyle name="Note 3 2 5 2 3 2" xfId="2604" xr:uid="{00000000-0005-0000-0000-0000EC130000}"/>
    <cellStyle name="Note 3 2 5 2 3 3" xfId="3882" xr:uid="{00000000-0005-0000-0000-0000ED130000}"/>
    <cellStyle name="Note 3 2 5 2 3 4" xfId="5169" xr:uid="{00000000-0005-0000-0000-0000EE130000}"/>
    <cellStyle name="Note 3 2 5 2 4" xfId="1752" xr:uid="{00000000-0005-0000-0000-0000EF130000}"/>
    <cellStyle name="Note 3 2 5 2 5" xfId="3030" xr:uid="{00000000-0005-0000-0000-0000F0130000}"/>
    <cellStyle name="Note 3 2 5 2 6" xfId="4317" xr:uid="{00000000-0005-0000-0000-0000F1130000}"/>
    <cellStyle name="Note 3 2 5 3" xfId="673" xr:uid="{00000000-0005-0000-0000-0000F2130000}"/>
    <cellStyle name="Note 3 2 5 3 2" xfId="1965" xr:uid="{00000000-0005-0000-0000-0000F3130000}"/>
    <cellStyle name="Note 3 2 5 3 3" xfId="3243" xr:uid="{00000000-0005-0000-0000-0000F4130000}"/>
    <cellStyle name="Note 3 2 5 3 4" xfId="4530" xr:uid="{00000000-0005-0000-0000-0000F5130000}"/>
    <cellStyle name="Note 3 2 5 4" xfId="1099" xr:uid="{00000000-0005-0000-0000-0000F6130000}"/>
    <cellStyle name="Note 3 2 5 4 2" xfId="2391" xr:uid="{00000000-0005-0000-0000-0000F7130000}"/>
    <cellStyle name="Note 3 2 5 4 3" xfId="3669" xr:uid="{00000000-0005-0000-0000-0000F8130000}"/>
    <cellStyle name="Note 3 2 5 4 4" xfId="4956" xr:uid="{00000000-0005-0000-0000-0000F9130000}"/>
    <cellStyle name="Note 3 2 5 5" xfId="1539" xr:uid="{00000000-0005-0000-0000-0000FA130000}"/>
    <cellStyle name="Note 3 2 5 6" xfId="2817" xr:uid="{00000000-0005-0000-0000-0000FB130000}"/>
    <cellStyle name="Note 3 2 5 7" xfId="4104" xr:uid="{00000000-0005-0000-0000-0000FC130000}"/>
    <cellStyle name="Note 3 2 6" xfId="283" xr:uid="{00000000-0005-0000-0000-0000FD130000}"/>
    <cellStyle name="Note 3 2 6 2" xfId="496" xr:uid="{00000000-0005-0000-0000-0000FE130000}"/>
    <cellStyle name="Note 3 2 6 2 2" xfId="921" xr:uid="{00000000-0005-0000-0000-0000FF130000}"/>
    <cellStyle name="Note 3 2 6 2 2 2" xfId="2213" xr:uid="{00000000-0005-0000-0000-000000140000}"/>
    <cellStyle name="Note 3 2 6 2 2 3" xfId="3491" xr:uid="{00000000-0005-0000-0000-000001140000}"/>
    <cellStyle name="Note 3 2 6 2 2 4" xfId="4778" xr:uid="{00000000-0005-0000-0000-000002140000}"/>
    <cellStyle name="Note 3 2 6 2 3" xfId="1347" xr:uid="{00000000-0005-0000-0000-000003140000}"/>
    <cellStyle name="Note 3 2 6 2 3 2" xfId="2639" xr:uid="{00000000-0005-0000-0000-000004140000}"/>
    <cellStyle name="Note 3 2 6 2 3 3" xfId="3917" xr:uid="{00000000-0005-0000-0000-000005140000}"/>
    <cellStyle name="Note 3 2 6 2 3 4" xfId="5204" xr:uid="{00000000-0005-0000-0000-000006140000}"/>
    <cellStyle name="Note 3 2 6 2 4" xfId="1787" xr:uid="{00000000-0005-0000-0000-000007140000}"/>
    <cellStyle name="Note 3 2 6 2 5" xfId="3065" xr:uid="{00000000-0005-0000-0000-000008140000}"/>
    <cellStyle name="Note 3 2 6 2 6" xfId="4352" xr:uid="{00000000-0005-0000-0000-000009140000}"/>
    <cellStyle name="Note 3 2 6 3" xfId="708" xr:uid="{00000000-0005-0000-0000-00000A140000}"/>
    <cellStyle name="Note 3 2 6 3 2" xfId="2000" xr:uid="{00000000-0005-0000-0000-00000B140000}"/>
    <cellStyle name="Note 3 2 6 3 3" xfId="3278" xr:uid="{00000000-0005-0000-0000-00000C140000}"/>
    <cellStyle name="Note 3 2 6 3 4" xfId="4565" xr:uid="{00000000-0005-0000-0000-00000D140000}"/>
    <cellStyle name="Note 3 2 6 4" xfId="1134" xr:uid="{00000000-0005-0000-0000-00000E140000}"/>
    <cellStyle name="Note 3 2 6 4 2" xfId="2426" xr:uid="{00000000-0005-0000-0000-00000F140000}"/>
    <cellStyle name="Note 3 2 6 4 3" xfId="3704" xr:uid="{00000000-0005-0000-0000-000010140000}"/>
    <cellStyle name="Note 3 2 6 4 4" xfId="4991" xr:uid="{00000000-0005-0000-0000-000011140000}"/>
    <cellStyle name="Note 3 2 6 5" xfId="1574" xr:uid="{00000000-0005-0000-0000-000012140000}"/>
    <cellStyle name="Note 3 2 6 6" xfId="2852" xr:uid="{00000000-0005-0000-0000-000013140000}"/>
    <cellStyle name="Note 3 2 6 7" xfId="4139" xr:uid="{00000000-0005-0000-0000-000014140000}"/>
    <cellStyle name="Note 3 2 7" xfId="456" xr:uid="{00000000-0005-0000-0000-000015140000}"/>
    <cellStyle name="Note 3 2 7 2" xfId="881" xr:uid="{00000000-0005-0000-0000-000016140000}"/>
    <cellStyle name="Note 3 2 7 2 2" xfId="2173" xr:uid="{00000000-0005-0000-0000-000017140000}"/>
    <cellStyle name="Note 3 2 7 2 3" xfId="3451" xr:uid="{00000000-0005-0000-0000-000018140000}"/>
    <cellStyle name="Note 3 2 7 2 4" xfId="4738" xr:uid="{00000000-0005-0000-0000-000019140000}"/>
    <cellStyle name="Note 3 2 7 3" xfId="1307" xr:uid="{00000000-0005-0000-0000-00001A140000}"/>
    <cellStyle name="Note 3 2 7 3 2" xfId="2599" xr:uid="{00000000-0005-0000-0000-00001B140000}"/>
    <cellStyle name="Note 3 2 7 3 3" xfId="3877" xr:uid="{00000000-0005-0000-0000-00001C140000}"/>
    <cellStyle name="Note 3 2 7 3 4" xfId="5164" xr:uid="{00000000-0005-0000-0000-00001D140000}"/>
    <cellStyle name="Note 3 2 7 4" xfId="1747" xr:uid="{00000000-0005-0000-0000-00001E140000}"/>
    <cellStyle name="Note 3 2 7 5" xfId="3025" xr:uid="{00000000-0005-0000-0000-00001F140000}"/>
    <cellStyle name="Note 3 2 7 6" xfId="4312" xr:uid="{00000000-0005-0000-0000-000020140000}"/>
    <cellStyle name="Note 3 2 8" xfId="668" xr:uid="{00000000-0005-0000-0000-000021140000}"/>
    <cellStyle name="Note 3 2 8 2" xfId="1960" xr:uid="{00000000-0005-0000-0000-000022140000}"/>
    <cellStyle name="Note 3 2 8 3" xfId="3238" xr:uid="{00000000-0005-0000-0000-000023140000}"/>
    <cellStyle name="Note 3 2 8 4" xfId="4525" xr:uid="{00000000-0005-0000-0000-000024140000}"/>
    <cellStyle name="Note 3 2 9" xfId="1094" xr:uid="{00000000-0005-0000-0000-000025140000}"/>
    <cellStyle name="Note 3 2 9 2" xfId="2386" xr:uid="{00000000-0005-0000-0000-000026140000}"/>
    <cellStyle name="Note 3 2 9 3" xfId="3664" xr:uid="{00000000-0005-0000-0000-000027140000}"/>
    <cellStyle name="Note 3 2 9 4" xfId="4951" xr:uid="{00000000-0005-0000-0000-000028140000}"/>
    <cellStyle name="Note 3 3" xfId="238" xr:uid="{00000000-0005-0000-0000-000029140000}"/>
    <cellStyle name="Note 3 3 2" xfId="239" xr:uid="{00000000-0005-0000-0000-00002A140000}"/>
    <cellStyle name="Note 3 3 2 2" xfId="463" xr:uid="{00000000-0005-0000-0000-00002B140000}"/>
    <cellStyle name="Note 3 3 2 2 2" xfId="888" xr:uid="{00000000-0005-0000-0000-00002C140000}"/>
    <cellStyle name="Note 3 3 2 2 2 2" xfId="2180" xr:uid="{00000000-0005-0000-0000-00002D140000}"/>
    <cellStyle name="Note 3 3 2 2 2 3" xfId="3458" xr:uid="{00000000-0005-0000-0000-00002E140000}"/>
    <cellStyle name="Note 3 3 2 2 2 4" xfId="4745" xr:uid="{00000000-0005-0000-0000-00002F140000}"/>
    <cellStyle name="Note 3 3 2 2 3" xfId="1314" xr:uid="{00000000-0005-0000-0000-000030140000}"/>
    <cellStyle name="Note 3 3 2 2 3 2" xfId="2606" xr:uid="{00000000-0005-0000-0000-000031140000}"/>
    <cellStyle name="Note 3 3 2 2 3 3" xfId="3884" xr:uid="{00000000-0005-0000-0000-000032140000}"/>
    <cellStyle name="Note 3 3 2 2 3 4" xfId="5171" xr:uid="{00000000-0005-0000-0000-000033140000}"/>
    <cellStyle name="Note 3 3 2 2 4" xfId="1754" xr:uid="{00000000-0005-0000-0000-000034140000}"/>
    <cellStyle name="Note 3 3 2 2 5" xfId="3032" xr:uid="{00000000-0005-0000-0000-000035140000}"/>
    <cellStyle name="Note 3 3 2 2 6" xfId="4319" xr:uid="{00000000-0005-0000-0000-000036140000}"/>
    <cellStyle name="Note 3 3 2 3" xfId="675" xr:uid="{00000000-0005-0000-0000-000037140000}"/>
    <cellStyle name="Note 3 3 2 3 2" xfId="1967" xr:uid="{00000000-0005-0000-0000-000038140000}"/>
    <cellStyle name="Note 3 3 2 3 3" xfId="3245" xr:uid="{00000000-0005-0000-0000-000039140000}"/>
    <cellStyle name="Note 3 3 2 3 4" xfId="4532" xr:uid="{00000000-0005-0000-0000-00003A140000}"/>
    <cellStyle name="Note 3 3 2 4" xfId="1101" xr:uid="{00000000-0005-0000-0000-00003B140000}"/>
    <cellStyle name="Note 3 3 2 4 2" xfId="2393" xr:uid="{00000000-0005-0000-0000-00003C140000}"/>
    <cellStyle name="Note 3 3 2 4 3" xfId="3671" xr:uid="{00000000-0005-0000-0000-00003D140000}"/>
    <cellStyle name="Note 3 3 2 4 4" xfId="4958" xr:uid="{00000000-0005-0000-0000-00003E140000}"/>
    <cellStyle name="Note 3 3 2 5" xfId="1541" xr:uid="{00000000-0005-0000-0000-00003F140000}"/>
    <cellStyle name="Note 3 3 2 6" xfId="2819" xr:uid="{00000000-0005-0000-0000-000040140000}"/>
    <cellStyle name="Note 3 3 2 7" xfId="4106" xr:uid="{00000000-0005-0000-0000-000041140000}"/>
    <cellStyle name="Note 3 3 2 8" xfId="5327" xr:uid="{00000000-0005-0000-0000-000042140000}"/>
    <cellStyle name="Note 3 3 3" xfId="462" xr:uid="{00000000-0005-0000-0000-000043140000}"/>
    <cellStyle name="Note 3 3 3 2" xfId="887" xr:uid="{00000000-0005-0000-0000-000044140000}"/>
    <cellStyle name="Note 3 3 3 2 2" xfId="2179" xr:uid="{00000000-0005-0000-0000-000045140000}"/>
    <cellStyle name="Note 3 3 3 2 3" xfId="3457" xr:uid="{00000000-0005-0000-0000-000046140000}"/>
    <cellStyle name="Note 3 3 3 2 4" xfId="4744" xr:uid="{00000000-0005-0000-0000-000047140000}"/>
    <cellStyle name="Note 3 3 3 3" xfId="1313" xr:uid="{00000000-0005-0000-0000-000048140000}"/>
    <cellStyle name="Note 3 3 3 3 2" xfId="2605" xr:uid="{00000000-0005-0000-0000-000049140000}"/>
    <cellStyle name="Note 3 3 3 3 3" xfId="3883" xr:uid="{00000000-0005-0000-0000-00004A140000}"/>
    <cellStyle name="Note 3 3 3 3 4" xfId="5170" xr:uid="{00000000-0005-0000-0000-00004B140000}"/>
    <cellStyle name="Note 3 3 3 4" xfId="1753" xr:uid="{00000000-0005-0000-0000-00004C140000}"/>
    <cellStyle name="Note 3 3 3 5" xfId="3031" xr:uid="{00000000-0005-0000-0000-00004D140000}"/>
    <cellStyle name="Note 3 3 3 6" xfId="4318" xr:uid="{00000000-0005-0000-0000-00004E140000}"/>
    <cellStyle name="Note 3 3 4" xfId="674" xr:uid="{00000000-0005-0000-0000-00004F140000}"/>
    <cellStyle name="Note 3 3 4 2" xfId="1966" xr:uid="{00000000-0005-0000-0000-000050140000}"/>
    <cellStyle name="Note 3 3 4 3" xfId="3244" xr:uid="{00000000-0005-0000-0000-000051140000}"/>
    <cellStyle name="Note 3 3 4 4" xfId="4531" xr:uid="{00000000-0005-0000-0000-000052140000}"/>
    <cellStyle name="Note 3 3 5" xfId="1100" xr:uid="{00000000-0005-0000-0000-000053140000}"/>
    <cellStyle name="Note 3 3 5 2" xfId="2392" xr:uid="{00000000-0005-0000-0000-000054140000}"/>
    <cellStyle name="Note 3 3 5 3" xfId="3670" xr:uid="{00000000-0005-0000-0000-000055140000}"/>
    <cellStyle name="Note 3 3 5 4" xfId="4957" xr:uid="{00000000-0005-0000-0000-000056140000}"/>
    <cellStyle name="Note 3 3 6" xfId="1540" xr:uid="{00000000-0005-0000-0000-000057140000}"/>
    <cellStyle name="Note 3 3 7" xfId="2818" xr:uid="{00000000-0005-0000-0000-000058140000}"/>
    <cellStyle name="Note 3 3 8" xfId="4105" xr:uid="{00000000-0005-0000-0000-000059140000}"/>
    <cellStyle name="Note 3 3 9" xfId="5326" xr:uid="{00000000-0005-0000-0000-00005A140000}"/>
    <cellStyle name="Note 3 4" xfId="240" xr:uid="{00000000-0005-0000-0000-00005B140000}"/>
    <cellStyle name="Note 3 4 2" xfId="464" xr:uid="{00000000-0005-0000-0000-00005C140000}"/>
    <cellStyle name="Note 3 4 2 2" xfId="889" xr:uid="{00000000-0005-0000-0000-00005D140000}"/>
    <cellStyle name="Note 3 4 2 2 2" xfId="2181" xr:uid="{00000000-0005-0000-0000-00005E140000}"/>
    <cellStyle name="Note 3 4 2 2 3" xfId="3459" xr:uid="{00000000-0005-0000-0000-00005F140000}"/>
    <cellStyle name="Note 3 4 2 2 4" xfId="4746" xr:uid="{00000000-0005-0000-0000-000060140000}"/>
    <cellStyle name="Note 3 4 2 3" xfId="1315" xr:uid="{00000000-0005-0000-0000-000061140000}"/>
    <cellStyle name="Note 3 4 2 3 2" xfId="2607" xr:uid="{00000000-0005-0000-0000-000062140000}"/>
    <cellStyle name="Note 3 4 2 3 3" xfId="3885" xr:uid="{00000000-0005-0000-0000-000063140000}"/>
    <cellStyle name="Note 3 4 2 3 4" xfId="5172" xr:uid="{00000000-0005-0000-0000-000064140000}"/>
    <cellStyle name="Note 3 4 2 4" xfId="1755" xr:uid="{00000000-0005-0000-0000-000065140000}"/>
    <cellStyle name="Note 3 4 2 5" xfId="3033" xr:uid="{00000000-0005-0000-0000-000066140000}"/>
    <cellStyle name="Note 3 4 2 6" xfId="4320" xr:uid="{00000000-0005-0000-0000-000067140000}"/>
    <cellStyle name="Note 3 4 3" xfId="676" xr:uid="{00000000-0005-0000-0000-000068140000}"/>
    <cellStyle name="Note 3 4 3 2" xfId="1968" xr:uid="{00000000-0005-0000-0000-000069140000}"/>
    <cellStyle name="Note 3 4 3 3" xfId="3246" xr:uid="{00000000-0005-0000-0000-00006A140000}"/>
    <cellStyle name="Note 3 4 3 4" xfId="4533" xr:uid="{00000000-0005-0000-0000-00006B140000}"/>
    <cellStyle name="Note 3 4 4" xfId="1102" xr:uid="{00000000-0005-0000-0000-00006C140000}"/>
    <cellStyle name="Note 3 4 4 2" xfId="2394" xr:uid="{00000000-0005-0000-0000-00006D140000}"/>
    <cellStyle name="Note 3 4 4 3" xfId="3672" xr:uid="{00000000-0005-0000-0000-00006E140000}"/>
    <cellStyle name="Note 3 4 4 4" xfId="4959" xr:uid="{00000000-0005-0000-0000-00006F140000}"/>
    <cellStyle name="Note 3 4 5" xfId="1542" xr:uid="{00000000-0005-0000-0000-000070140000}"/>
    <cellStyle name="Note 3 4 6" xfId="2820" xr:uid="{00000000-0005-0000-0000-000071140000}"/>
    <cellStyle name="Note 3 4 7" xfId="4107" xr:uid="{00000000-0005-0000-0000-000072140000}"/>
    <cellStyle name="Note 3 4 8" xfId="5328" xr:uid="{00000000-0005-0000-0000-000073140000}"/>
    <cellStyle name="Note 3 5" xfId="241" xr:uid="{00000000-0005-0000-0000-000074140000}"/>
    <cellStyle name="Note 3 5 2" xfId="465" xr:uid="{00000000-0005-0000-0000-000075140000}"/>
    <cellStyle name="Note 3 5 2 2" xfId="890" xr:uid="{00000000-0005-0000-0000-000076140000}"/>
    <cellStyle name="Note 3 5 2 2 2" xfId="2182" xr:uid="{00000000-0005-0000-0000-000077140000}"/>
    <cellStyle name="Note 3 5 2 2 3" xfId="3460" xr:uid="{00000000-0005-0000-0000-000078140000}"/>
    <cellStyle name="Note 3 5 2 2 4" xfId="4747" xr:uid="{00000000-0005-0000-0000-000079140000}"/>
    <cellStyle name="Note 3 5 2 3" xfId="1316" xr:uid="{00000000-0005-0000-0000-00007A140000}"/>
    <cellStyle name="Note 3 5 2 3 2" xfId="2608" xr:uid="{00000000-0005-0000-0000-00007B140000}"/>
    <cellStyle name="Note 3 5 2 3 3" xfId="3886" xr:uid="{00000000-0005-0000-0000-00007C140000}"/>
    <cellStyle name="Note 3 5 2 3 4" xfId="5173" xr:uid="{00000000-0005-0000-0000-00007D140000}"/>
    <cellStyle name="Note 3 5 2 4" xfId="1756" xr:uid="{00000000-0005-0000-0000-00007E140000}"/>
    <cellStyle name="Note 3 5 2 5" xfId="3034" xr:uid="{00000000-0005-0000-0000-00007F140000}"/>
    <cellStyle name="Note 3 5 2 6" xfId="4321" xr:uid="{00000000-0005-0000-0000-000080140000}"/>
    <cellStyle name="Note 3 5 3" xfId="677" xr:uid="{00000000-0005-0000-0000-000081140000}"/>
    <cellStyle name="Note 3 5 3 2" xfId="1969" xr:uid="{00000000-0005-0000-0000-000082140000}"/>
    <cellStyle name="Note 3 5 3 3" xfId="3247" xr:uid="{00000000-0005-0000-0000-000083140000}"/>
    <cellStyle name="Note 3 5 3 4" xfId="4534" xr:uid="{00000000-0005-0000-0000-000084140000}"/>
    <cellStyle name="Note 3 5 4" xfId="1103" xr:uid="{00000000-0005-0000-0000-000085140000}"/>
    <cellStyle name="Note 3 5 4 2" xfId="2395" xr:uid="{00000000-0005-0000-0000-000086140000}"/>
    <cellStyle name="Note 3 5 4 3" xfId="3673" xr:uid="{00000000-0005-0000-0000-000087140000}"/>
    <cellStyle name="Note 3 5 4 4" xfId="4960" xr:uid="{00000000-0005-0000-0000-000088140000}"/>
    <cellStyle name="Note 3 5 5" xfId="1543" xr:uid="{00000000-0005-0000-0000-000089140000}"/>
    <cellStyle name="Note 3 5 6" xfId="2821" xr:uid="{00000000-0005-0000-0000-00008A140000}"/>
    <cellStyle name="Note 3 5 7" xfId="4108" xr:uid="{00000000-0005-0000-0000-00008B140000}"/>
    <cellStyle name="Note 3 6" xfId="242" xr:uid="{00000000-0005-0000-0000-00008C140000}"/>
    <cellStyle name="Note 3 6 2" xfId="466" xr:uid="{00000000-0005-0000-0000-00008D140000}"/>
    <cellStyle name="Note 3 6 2 2" xfId="891" xr:uid="{00000000-0005-0000-0000-00008E140000}"/>
    <cellStyle name="Note 3 6 2 2 2" xfId="2183" xr:uid="{00000000-0005-0000-0000-00008F140000}"/>
    <cellStyle name="Note 3 6 2 2 3" xfId="3461" xr:uid="{00000000-0005-0000-0000-000090140000}"/>
    <cellStyle name="Note 3 6 2 2 4" xfId="4748" xr:uid="{00000000-0005-0000-0000-000091140000}"/>
    <cellStyle name="Note 3 6 2 3" xfId="1317" xr:uid="{00000000-0005-0000-0000-000092140000}"/>
    <cellStyle name="Note 3 6 2 3 2" xfId="2609" xr:uid="{00000000-0005-0000-0000-000093140000}"/>
    <cellStyle name="Note 3 6 2 3 3" xfId="3887" xr:uid="{00000000-0005-0000-0000-000094140000}"/>
    <cellStyle name="Note 3 6 2 3 4" xfId="5174" xr:uid="{00000000-0005-0000-0000-000095140000}"/>
    <cellStyle name="Note 3 6 2 4" xfId="1757" xr:uid="{00000000-0005-0000-0000-000096140000}"/>
    <cellStyle name="Note 3 6 2 5" xfId="3035" xr:uid="{00000000-0005-0000-0000-000097140000}"/>
    <cellStyle name="Note 3 6 2 6" xfId="4322" xr:uid="{00000000-0005-0000-0000-000098140000}"/>
    <cellStyle name="Note 3 6 3" xfId="678" xr:uid="{00000000-0005-0000-0000-000099140000}"/>
    <cellStyle name="Note 3 6 3 2" xfId="1970" xr:uid="{00000000-0005-0000-0000-00009A140000}"/>
    <cellStyle name="Note 3 6 3 3" xfId="3248" xr:uid="{00000000-0005-0000-0000-00009B140000}"/>
    <cellStyle name="Note 3 6 3 4" xfId="4535" xr:uid="{00000000-0005-0000-0000-00009C140000}"/>
    <cellStyle name="Note 3 6 4" xfId="1104" xr:uid="{00000000-0005-0000-0000-00009D140000}"/>
    <cellStyle name="Note 3 6 4 2" xfId="2396" xr:uid="{00000000-0005-0000-0000-00009E140000}"/>
    <cellStyle name="Note 3 6 4 3" xfId="3674" xr:uid="{00000000-0005-0000-0000-00009F140000}"/>
    <cellStyle name="Note 3 6 4 4" xfId="4961" xr:uid="{00000000-0005-0000-0000-0000A0140000}"/>
    <cellStyle name="Note 3 6 5" xfId="1544" xr:uid="{00000000-0005-0000-0000-0000A1140000}"/>
    <cellStyle name="Note 3 6 6" xfId="2822" xr:uid="{00000000-0005-0000-0000-0000A2140000}"/>
    <cellStyle name="Note 3 6 7" xfId="4109" xr:uid="{00000000-0005-0000-0000-0000A3140000}"/>
    <cellStyle name="Note 3 7" xfId="268" xr:uid="{00000000-0005-0000-0000-0000A4140000}"/>
    <cellStyle name="Note 3 7 2" xfId="481" xr:uid="{00000000-0005-0000-0000-0000A5140000}"/>
    <cellStyle name="Note 3 7 2 2" xfId="906" xr:uid="{00000000-0005-0000-0000-0000A6140000}"/>
    <cellStyle name="Note 3 7 2 2 2" xfId="2198" xr:uid="{00000000-0005-0000-0000-0000A7140000}"/>
    <cellStyle name="Note 3 7 2 2 3" xfId="3476" xr:uid="{00000000-0005-0000-0000-0000A8140000}"/>
    <cellStyle name="Note 3 7 2 2 4" xfId="4763" xr:uid="{00000000-0005-0000-0000-0000A9140000}"/>
    <cellStyle name="Note 3 7 2 3" xfId="1332" xr:uid="{00000000-0005-0000-0000-0000AA140000}"/>
    <cellStyle name="Note 3 7 2 3 2" xfId="2624" xr:uid="{00000000-0005-0000-0000-0000AB140000}"/>
    <cellStyle name="Note 3 7 2 3 3" xfId="3902" xr:uid="{00000000-0005-0000-0000-0000AC140000}"/>
    <cellStyle name="Note 3 7 2 3 4" xfId="5189" xr:uid="{00000000-0005-0000-0000-0000AD140000}"/>
    <cellStyle name="Note 3 7 2 4" xfId="1772" xr:uid="{00000000-0005-0000-0000-0000AE140000}"/>
    <cellStyle name="Note 3 7 2 5" xfId="3050" xr:uid="{00000000-0005-0000-0000-0000AF140000}"/>
    <cellStyle name="Note 3 7 2 6" xfId="4337" xr:uid="{00000000-0005-0000-0000-0000B0140000}"/>
    <cellStyle name="Note 3 7 3" xfId="693" xr:uid="{00000000-0005-0000-0000-0000B1140000}"/>
    <cellStyle name="Note 3 7 3 2" xfId="1985" xr:uid="{00000000-0005-0000-0000-0000B2140000}"/>
    <cellStyle name="Note 3 7 3 3" xfId="3263" xr:uid="{00000000-0005-0000-0000-0000B3140000}"/>
    <cellStyle name="Note 3 7 3 4" xfId="4550" xr:uid="{00000000-0005-0000-0000-0000B4140000}"/>
    <cellStyle name="Note 3 7 4" xfId="1119" xr:uid="{00000000-0005-0000-0000-0000B5140000}"/>
    <cellStyle name="Note 3 7 4 2" xfId="2411" xr:uid="{00000000-0005-0000-0000-0000B6140000}"/>
    <cellStyle name="Note 3 7 4 3" xfId="3689" xr:uid="{00000000-0005-0000-0000-0000B7140000}"/>
    <cellStyle name="Note 3 7 4 4" xfId="4976" xr:uid="{00000000-0005-0000-0000-0000B8140000}"/>
    <cellStyle name="Note 3 7 5" xfId="1559" xr:uid="{00000000-0005-0000-0000-0000B9140000}"/>
    <cellStyle name="Note 3 7 6" xfId="2837" xr:uid="{00000000-0005-0000-0000-0000BA140000}"/>
    <cellStyle name="Note 3 7 7" xfId="4124" xr:uid="{00000000-0005-0000-0000-0000BB140000}"/>
    <cellStyle name="Note 3 8" xfId="455" xr:uid="{00000000-0005-0000-0000-0000BC140000}"/>
    <cellStyle name="Note 3 8 2" xfId="880" xr:uid="{00000000-0005-0000-0000-0000BD140000}"/>
    <cellStyle name="Note 3 8 2 2" xfId="2172" xr:uid="{00000000-0005-0000-0000-0000BE140000}"/>
    <cellStyle name="Note 3 8 2 3" xfId="3450" xr:uid="{00000000-0005-0000-0000-0000BF140000}"/>
    <cellStyle name="Note 3 8 2 4" xfId="4737" xr:uid="{00000000-0005-0000-0000-0000C0140000}"/>
    <cellStyle name="Note 3 8 3" xfId="1306" xr:uid="{00000000-0005-0000-0000-0000C1140000}"/>
    <cellStyle name="Note 3 8 3 2" xfId="2598" xr:uid="{00000000-0005-0000-0000-0000C2140000}"/>
    <cellStyle name="Note 3 8 3 3" xfId="3876" xr:uid="{00000000-0005-0000-0000-0000C3140000}"/>
    <cellStyle name="Note 3 8 3 4" xfId="5163" xr:uid="{00000000-0005-0000-0000-0000C4140000}"/>
    <cellStyle name="Note 3 8 4" xfId="1746" xr:uid="{00000000-0005-0000-0000-0000C5140000}"/>
    <cellStyle name="Note 3 8 5" xfId="3024" xr:uid="{00000000-0005-0000-0000-0000C6140000}"/>
    <cellStyle name="Note 3 8 6" xfId="4311" xr:uid="{00000000-0005-0000-0000-0000C7140000}"/>
    <cellStyle name="Note 3 9" xfId="667" xr:uid="{00000000-0005-0000-0000-0000C8140000}"/>
    <cellStyle name="Note 3 9 2" xfId="1959" xr:uid="{00000000-0005-0000-0000-0000C9140000}"/>
    <cellStyle name="Note 3 9 3" xfId="3237" xr:uid="{00000000-0005-0000-0000-0000CA140000}"/>
    <cellStyle name="Note 3 9 4" xfId="4524" xr:uid="{00000000-0005-0000-0000-0000CB140000}"/>
    <cellStyle name="Output" xfId="3" builtinId="21" customBuiltin="1"/>
    <cellStyle name="Percent" xfId="2" builtinId="5"/>
    <cellStyle name="Percent 2" xfId="40" xr:uid="{00000000-0005-0000-0000-0000CE140000}"/>
    <cellStyle name="Percent 2 2" xfId="249" xr:uid="{00000000-0005-0000-0000-0000CF140000}"/>
    <cellStyle name="Percent 2 2 2" xfId="5329" xr:uid="{00000000-0005-0000-0000-0000D0140000}"/>
    <cellStyle name="Percent 3" xfId="243" xr:uid="{00000000-0005-0000-0000-0000D1140000}"/>
    <cellStyle name="Percent 3 2" xfId="1357" xr:uid="{00000000-0005-0000-0000-0000D2140000}"/>
    <cellStyle name="Percent 3 2 2" xfId="5330" xr:uid="{00000000-0005-0000-0000-0000D3140000}"/>
    <cellStyle name="Percent 4" xfId="244" xr:uid="{00000000-0005-0000-0000-0000D4140000}"/>
    <cellStyle name="Percent 4 2" xfId="1353" xr:uid="{00000000-0005-0000-0000-0000D5140000}"/>
    <cellStyle name="Percent 4 2 2" xfId="5331" xr:uid="{00000000-0005-0000-0000-0000D6140000}"/>
    <cellStyle name="Title" xfId="42" builtinId="15" customBuiltin="1"/>
    <cellStyle name="Total" xfId="56" builtinId="25" customBuiltin="1"/>
    <cellStyle name="Warning Text" xfId="54" builtinId="11" customBuiltin="1"/>
  </cellStyles>
  <dxfs count="4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191970"/>
      </font>
      <fill>
        <patternFill>
          <bgColor rgb="FFFFDEAD"/>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dxf>
    <dxf>
      <font>
        <color rgb="FF9C0006"/>
      </font>
      <fill>
        <patternFill>
          <bgColor rgb="FFFFC7CE"/>
        </patternFill>
      </fill>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FE1FF"/>
      <color rgb="FF00FF00"/>
      <color rgb="FFFFCCFF"/>
      <color rgb="FF66FF33"/>
      <color rgb="FFFFFFCC"/>
      <color rgb="FFE9F54D"/>
      <color rgb="FFCCFF99"/>
      <color rgb="FFDDFFDD"/>
      <color rgb="FFCCFFCC"/>
      <color rgb="FFFD8B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reativecommons.org/licenses/by/4.0/" TargetMode="External"/></Relationships>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drawing7.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58</xdr:row>
      <xdr:rowOff>0</xdr:rowOff>
    </xdr:from>
    <xdr:to>
      <xdr:col>0</xdr:col>
      <xdr:colOff>762000</xdr:colOff>
      <xdr:row>58</xdr:row>
      <xdr:rowOff>132874</xdr:rowOff>
    </xdr:to>
    <xdr:pic>
      <xdr:nvPicPr>
        <xdr:cNvPr id="2" name="Picture 1" descr="Creative Commons License">
          <a:hlinkClick xmlns:r="http://schemas.openxmlformats.org/officeDocument/2006/relationships" r:id="rId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068050"/>
          <a:ext cx="762000" cy="1404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xdr:colOff>
      <xdr:row>0</xdr:row>
      <xdr:rowOff>0</xdr:rowOff>
    </xdr:from>
    <xdr:to>
      <xdr:col>14</xdr:col>
      <xdr:colOff>1</xdr:colOff>
      <xdr:row>17</xdr:row>
      <xdr:rowOff>171450</xdr:rowOff>
    </xdr:to>
    <xdr:sp macro="" textlink="">
      <xdr:nvSpPr>
        <xdr:cNvPr id="2" name="TextBox 1" title="GL 810 Guidance">
          <a:extLst>
            <a:ext uri="{FF2B5EF4-FFF2-40B4-BE49-F238E27FC236}">
              <a16:creationId xmlns:a16="http://schemas.microsoft.com/office/drawing/2014/main" id="{00000000-0008-0000-0400-000002000000}"/>
            </a:ext>
          </a:extLst>
        </xdr:cNvPr>
        <xdr:cNvSpPr txBox="1"/>
      </xdr:nvSpPr>
      <xdr:spPr>
        <a:xfrm>
          <a:off x="9525001" y="0"/>
          <a:ext cx="3657600" cy="3409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810 Restricted for Other Items </a:t>
          </a:r>
        </a:p>
        <a:p>
          <a:pPr algn="l"/>
          <a:r>
            <a:rPr lang="en-US" sz="1100" b="0" i="0"/>
            <a:t>This account is used for recording</a:t>
          </a:r>
          <a:r>
            <a:rPr lang="en-US" sz="1100" b="0" i="0" baseline="0"/>
            <a:t> restrictions on spendable fund balance for amounts that have not been recorded in other accounts.</a:t>
          </a:r>
        </a:p>
        <a:p>
          <a:pPr algn="l"/>
          <a:endParaRPr lang="en-US" sz="1100" b="0" i="0" baseline="0"/>
        </a:p>
        <a:p>
          <a:pPr algn="l"/>
          <a:r>
            <a:rPr lang="en-US" sz="1100" b="1" i="0" baseline="0"/>
            <a:t>Beginning in 2011-2012: </a:t>
          </a:r>
          <a:r>
            <a:rPr lang="en-US" sz="1100" b="0" i="0" baseline="0"/>
            <a:t>Record amounts from the ASB Fund and the Debt Service Fund that are neither Nonspendable or recorded in a separate Restricted account. The fund balance for these funds should be reported in this GL  beginning  in 2011-2012. Districts are encouraged to use this GL for their Transportation Vehicle Fund balance as well.</a:t>
          </a:r>
          <a:endParaRPr lang="en-US" sz="1100" b="1" i="0" baseline="0"/>
        </a:p>
        <a:p>
          <a:pPr algn="l"/>
          <a:endParaRPr lang="en-US" sz="1100" b="0" i="0" baseline="0"/>
        </a:p>
        <a:p>
          <a:pPr algn="ctr"/>
          <a:r>
            <a:rPr lang="en-US" sz="1100" b="0" i="1" baseline="0"/>
            <a:t>Instructions for this sheet</a:t>
          </a:r>
        </a:p>
        <a:p>
          <a:pPr algn="l"/>
          <a:r>
            <a:rPr lang="en-US" sz="1100" b="0" i="0" baseline="0"/>
            <a:t>Space is provided for a number of restrictions on fund balance use. Restrictions come from outside of the district (Legislature, creditors, etc.). Each fund has its own column. Enter a description and enter the amount in the appropriate column.</a:t>
          </a:r>
          <a:endParaRPr lang="en-US" sz="1100" b="0" i="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0</xdr:row>
      <xdr:rowOff>0</xdr:rowOff>
    </xdr:from>
    <xdr:to>
      <xdr:col>14</xdr:col>
      <xdr:colOff>0</xdr:colOff>
      <xdr:row>18</xdr:row>
      <xdr:rowOff>0</xdr:rowOff>
    </xdr:to>
    <xdr:sp macro="" textlink="">
      <xdr:nvSpPr>
        <xdr:cNvPr id="2" name="TextBox 1" title="GL 815 Guidance">
          <a:extLst>
            <a:ext uri="{FF2B5EF4-FFF2-40B4-BE49-F238E27FC236}">
              <a16:creationId xmlns:a16="http://schemas.microsoft.com/office/drawing/2014/main" id="{00000000-0008-0000-0500-000002000000}"/>
            </a:ext>
          </a:extLst>
        </xdr:cNvPr>
        <xdr:cNvSpPr txBox="1"/>
      </xdr:nvSpPr>
      <xdr:spPr>
        <a:xfrm>
          <a:off x="6362700" y="0"/>
          <a:ext cx="4876800" cy="34575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a:t>
          </a:r>
          <a:r>
            <a:rPr lang="en-US" sz="1100" b="1" i="1" baseline="0"/>
            <a:t> 815 Restricted for Unequalized Deductible Revenues </a:t>
          </a:r>
        </a:p>
        <a:p>
          <a:r>
            <a:rPr lang="en-US" sz="1100" b="0" i="0" baseline="0"/>
            <a:t>This account is provided as a means for restricting fund balance for future recovery of deductible revenues. Refer to Chapter 2 for more information on deductible revenues. Cash basis districts make a restriction of fund balance for recoverable revenue at the time the revenue is received for reversal at the time the revenue is recovered. This account would be used for the following funding streams: 1400 Local in Lieu of Taxes, 5400 Federal in Lieu of Taxes, and 5500 Federal Forest. These General Fund revenues of the school district reduce the state payment to the district in Revenue 3100 Apportionment.</a:t>
          </a:r>
        </a:p>
        <a:p>
          <a:endParaRPr lang="en-US" sz="1100" b="0" i="0" baseline="0"/>
        </a:p>
        <a:p>
          <a:pPr algn="ctr"/>
          <a:r>
            <a:rPr lang="en-US" sz="1100" b="0" i="1" baseline="0"/>
            <a:t>Instructions for this sheet</a:t>
          </a:r>
        </a:p>
        <a:p>
          <a:pPr algn="l"/>
          <a:r>
            <a:rPr lang="en-US" sz="1100" b="0" i="0" baseline="0"/>
            <a:t>In the yellow cells, enter the amounts for prior year beginning balance, then deductible revenues reduced in the fiscal year (these are the prior year amounts that should have been reduced in the current year). </a:t>
          </a:r>
        </a:p>
        <a:p>
          <a:pPr algn="l"/>
          <a:endParaRPr lang="en-US" sz="1100" b="0" i="0" baseline="0"/>
        </a:p>
        <a:p>
          <a:pPr algn="l"/>
          <a:r>
            <a:rPr lang="en-US" sz="1100" b="0" i="0" baseline="0"/>
            <a:t>Next, enter any deductible revenues that have been received but not yet equalized against the district's General Apportionment payment. These amounts will be equalized in the coming year.</a:t>
          </a:r>
          <a:endParaRPr lang="en-US" sz="1100" b="0" i="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228600</xdr:colOff>
      <xdr:row>0</xdr:row>
      <xdr:rowOff>123825</xdr:rowOff>
    </xdr:from>
    <xdr:to>
      <xdr:col>13</xdr:col>
      <xdr:colOff>428625</xdr:colOff>
      <xdr:row>18</xdr:row>
      <xdr:rowOff>28575</xdr:rowOff>
    </xdr:to>
    <xdr:sp macro="" textlink="">
      <xdr:nvSpPr>
        <xdr:cNvPr id="2" name="TextBox 1" title="GL 819 Guidance">
          <a:extLst>
            <a:ext uri="{FF2B5EF4-FFF2-40B4-BE49-F238E27FC236}">
              <a16:creationId xmlns:a16="http://schemas.microsoft.com/office/drawing/2014/main" id="{00000000-0008-0000-0600-000002000000}"/>
            </a:ext>
          </a:extLst>
        </xdr:cNvPr>
        <xdr:cNvSpPr txBox="1"/>
      </xdr:nvSpPr>
      <xdr:spPr>
        <a:xfrm>
          <a:off x="228600" y="123825"/>
          <a:ext cx="8124825" cy="3333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819 Restricted for Fund Purposes</a:t>
          </a:r>
          <a:endParaRPr lang="en-US" sz="1100" b="1" i="1" baseline="0"/>
        </a:p>
        <a:p>
          <a:pPr algn="ctr"/>
          <a:r>
            <a:rPr lang="en-US" sz="1100" b="1" i="1" baseline="0"/>
            <a:t>ASB, TVF</a:t>
          </a:r>
        </a:p>
        <a:p>
          <a:pPr algn="l"/>
          <a:r>
            <a:rPr lang="en-US" sz="1100" b="0" i="0" baseline="0"/>
            <a:t>This account is used to record the ending fund balance in governmental funds relating to resources that are restricted by enabling legislation, legal requirements, or other enforceable claims. Amounts in this account are  restricted to being used only for the purposes of the fund they are in.</a:t>
          </a:r>
        </a:p>
        <a:p>
          <a:pPr algn="l"/>
          <a:endParaRPr lang="en-US" sz="1100" b="0" i="0" baseline="0"/>
        </a:p>
        <a:p>
          <a:pPr algn="l"/>
          <a:r>
            <a:rPr lang="en-US" sz="1100" b="0" i="0" baseline="0"/>
            <a:t>The amount in this account is equal to the fund's assets less liabilities, less amounts that are Nonspendable or otherwise Restricted. If this account would be negative, record the amount in GL 890 Unassigned Fund Balance instead.</a:t>
          </a:r>
        </a:p>
        <a:p>
          <a:pPr algn="l"/>
          <a:endParaRPr lang="en-US" sz="1100" b="0" i="0" baseline="0"/>
        </a:p>
        <a:p>
          <a:pPr algn="ctr"/>
          <a:r>
            <a:rPr lang="en-US" sz="1100" b="0" i="1" baseline="0"/>
            <a:t>Instructions for this Sheet</a:t>
          </a:r>
        </a:p>
        <a:p>
          <a:pPr algn="l"/>
          <a:r>
            <a:rPr lang="en-US" sz="1100" b="0" i="0" baseline="0"/>
            <a:t>This is a residual account for the ASB Fund and Transportation Vehicle Fund. No entry is necessary for this sheet.</a:t>
          </a:r>
          <a:endParaRPr lang="en-US" sz="1100" b="0" i="0"/>
        </a:p>
        <a:p>
          <a:endParaRPr lang="en-US" sz="11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9524</xdr:colOff>
      <xdr:row>0</xdr:row>
      <xdr:rowOff>0</xdr:rowOff>
    </xdr:from>
    <xdr:to>
      <xdr:col>13</xdr:col>
      <xdr:colOff>609599</xdr:colOff>
      <xdr:row>24</xdr:row>
      <xdr:rowOff>66675</xdr:rowOff>
    </xdr:to>
    <xdr:sp macro="" textlink="">
      <xdr:nvSpPr>
        <xdr:cNvPr id="2" name="TextBox 1" title="GL 821 Guidance">
          <a:extLst>
            <a:ext uri="{FF2B5EF4-FFF2-40B4-BE49-F238E27FC236}">
              <a16:creationId xmlns:a16="http://schemas.microsoft.com/office/drawing/2014/main" id="{00000000-0008-0000-0800-000002000000}"/>
            </a:ext>
          </a:extLst>
        </xdr:cNvPr>
        <xdr:cNvSpPr txBox="1"/>
      </xdr:nvSpPr>
      <xdr:spPr>
        <a:xfrm>
          <a:off x="10106024" y="0"/>
          <a:ext cx="5286375" cy="4752975"/>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u="none"/>
            <a:t>GL</a:t>
          </a:r>
          <a:r>
            <a:rPr lang="en-US" sz="1100" b="1" i="1" u="none" baseline="0"/>
            <a:t> 821 Restricted for Carryover of Restricted Revenue</a:t>
          </a:r>
        </a:p>
        <a:p>
          <a:r>
            <a:rPr lang="en-US" sz="1100" b="0" i="0" u="none" baseline="0"/>
            <a:t>All districts must identify a restriction of fund balance at year-end for amounts determined to be unspent carryover funds with restricted use. This would include the following state funding streams: Special Education, CTE, Learning Assistance Program, State Institutions, Professional Learning Days, and other such unspent funds as may be subject to restricted-use carryover.</a:t>
          </a:r>
        </a:p>
        <a:p>
          <a:endParaRPr lang="en-US" sz="1100" b="0" i="0" u="none" baseline="0"/>
        </a:p>
        <a:p>
          <a:pPr algn="ctr"/>
          <a:r>
            <a:rPr lang="en-US" sz="1100" b="0" i="1" u="none" baseline="0"/>
            <a:t>Instructions for this sheet</a:t>
          </a:r>
        </a:p>
        <a:p>
          <a:pPr algn="l"/>
          <a:r>
            <a:rPr lang="en-US" sz="1100" b="0" i="0" u="none" baseline="0"/>
            <a:t>The CCDDD reference in cell F1 is linked to the summary sheet and should not be changed. You should only change the CCDDD number in the Fund Balance Summary worksheet.</a:t>
          </a:r>
        </a:p>
        <a:p>
          <a:pPr algn="l"/>
          <a:endParaRPr lang="en-US" sz="1100" b="0" i="0" u="none" baseline="0"/>
        </a:p>
        <a:p>
          <a:pPr algn="l"/>
          <a:r>
            <a:rPr lang="en-US" sz="1100" b="0" i="0" u="none" baseline="0"/>
            <a:t>This sheet is based on Jackie McDonald's Recovery/Carryover worksheet. </a:t>
          </a:r>
          <a:r>
            <a:rPr lang="en-US" sz="1100" b="1" i="0" u="none" baseline="0">
              <a:solidFill>
                <a:srgbClr val="C00000"/>
              </a:solidFill>
            </a:rPr>
            <a:t>Allocations are as of August 2026</a:t>
          </a:r>
          <a:r>
            <a:rPr lang="en-US" sz="1100" b="0" i="0" u="none" baseline="0"/>
            <a:t>. This GL821 Restricted worksheet is intended to provide a reasonable estimate of carryover/recovery amounts. </a:t>
          </a:r>
          <a:r>
            <a:rPr lang="en-US" sz="1100" b="0" i="1" u="sng" baseline="0"/>
            <a:t>Final recovery/carryover calculations will be performed in January, and amounts may differ slightly from the amounts shown here. </a:t>
          </a:r>
          <a:r>
            <a:rPr lang="en-US" sz="1100" b="0" i="0" u="none" baseline="0"/>
            <a:t>If there is a discrepancy between this sheet and </a:t>
          </a:r>
          <a:r>
            <a:rPr lang="en-US" sz="1100" b="0" i="0" baseline="0">
              <a:solidFill>
                <a:schemeClr val="dk1"/>
              </a:solidFill>
              <a:effectLst/>
              <a:latin typeface="+mn-lt"/>
              <a:ea typeface="+mn-ea"/>
              <a:cs typeface="+mn-cs"/>
            </a:rPr>
            <a:t>Jackie McDonald's </a:t>
          </a:r>
          <a:r>
            <a:rPr lang="en-US" sz="1100" b="0" i="0" u="none" baseline="0"/>
            <a:t>Estimated Recovery Sheet, use the amount from </a:t>
          </a:r>
          <a:r>
            <a:rPr lang="en-US" sz="1100" b="0" i="0" baseline="0">
              <a:solidFill>
                <a:schemeClr val="dk1"/>
              </a:solidFill>
              <a:effectLst/>
              <a:latin typeface="+mn-lt"/>
              <a:ea typeface="+mn-ea"/>
              <a:cs typeface="+mn-cs"/>
            </a:rPr>
            <a:t>Jackie McDonald's Recovery/Carryover worksheet</a:t>
          </a:r>
          <a:r>
            <a:rPr lang="en-US" sz="1100" b="0" i="0" u="none" baseline="0"/>
            <a:t>.</a:t>
          </a:r>
          <a:endParaRPr lang="en-US" sz="1100" b="0" i="1" u="sng" baseline="0"/>
        </a:p>
        <a:p>
          <a:pPr algn="l"/>
          <a:endParaRPr lang="en-US" sz="1100" b="0" i="0" u="none" baseline="0"/>
        </a:p>
        <a:p>
          <a:pPr algn="l"/>
          <a:r>
            <a:rPr lang="en-US" sz="1100" b="0" i="0" u="none" baseline="0"/>
            <a:t>Most of this sheet will auto-populate. </a:t>
          </a:r>
          <a:r>
            <a:rPr lang="en-US" sz="1100" b="1" i="0" u="none" baseline="0"/>
            <a:t>Enter missing information,</a:t>
          </a:r>
          <a:r>
            <a:rPr lang="en-US" sz="1100" b="0" i="0" u="none" baseline="0"/>
            <a:t> as appropriate, into the </a:t>
          </a:r>
          <a:r>
            <a:rPr lang="en-US" sz="1100" b="1" i="0" u="none" baseline="0">
              <a:solidFill>
                <a:sysClr val="windowText" lastClr="000000"/>
              </a:solidFill>
            </a:rPr>
            <a:t>yellow cells</a:t>
          </a:r>
          <a:r>
            <a:rPr lang="en-US" sz="1100" b="0" i="0" u="none" baseline="0"/>
            <a:t>.</a:t>
          </a:r>
        </a:p>
        <a:p>
          <a:pPr algn="l"/>
          <a:endParaRPr lang="en-US" sz="1100" b="0" i="0" u="none" baseline="0"/>
        </a:p>
        <a:p>
          <a:pPr algn="l"/>
          <a:r>
            <a:rPr lang="en-US" sz="1100" b="0" i="0" u="none" baseline="0"/>
            <a:t>If the district is a cash-basis district, recovery amounts are calculated and should be included in the balance of GL 821. For accrual-basis districts, recovery amounts should be accrued as a liability (GL 630 Due to Other Governmental Units).</a:t>
          </a:r>
          <a:endParaRPr lang="en-US" sz="1100" b="0" i="0" u="none"/>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20</xdr:col>
      <xdr:colOff>272415</xdr:colOff>
      <xdr:row>1</xdr:row>
      <xdr:rowOff>97154</xdr:rowOff>
    </xdr:from>
    <xdr:to>
      <xdr:col>30</xdr:col>
      <xdr:colOff>329565</xdr:colOff>
      <xdr:row>32</xdr:row>
      <xdr:rowOff>116514</xdr:rowOff>
    </xdr:to>
    <xdr:pic>
      <xdr:nvPicPr>
        <xdr:cNvPr id="4" name="Picture 3" title="GL 825 Guidance">
          <a:extLst>
            <a:ext uri="{FF2B5EF4-FFF2-40B4-BE49-F238E27FC236}">
              <a16:creationId xmlns:a16="http://schemas.microsoft.com/office/drawing/2014/main" id="{00000000-0008-0000-09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912965" y="278129"/>
          <a:ext cx="6153150" cy="5734360"/>
        </a:xfrm>
        <a:prstGeom prst="rect">
          <a:avLst/>
        </a:prstGeom>
        <a:solidFill>
          <a:schemeClr val="bg1"/>
        </a:solidFill>
        <a:ln>
          <a:solidFill>
            <a:sysClr val="windowText" lastClr="000000"/>
          </a:solidFill>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0</xdr:colOff>
      <xdr:row>1</xdr:row>
      <xdr:rowOff>0</xdr:rowOff>
    </xdr:from>
    <xdr:to>
      <xdr:col>40</xdr:col>
      <xdr:colOff>472440</xdr:colOff>
      <xdr:row>32</xdr:row>
      <xdr:rowOff>173355</xdr:rowOff>
    </xdr:to>
    <xdr:pic>
      <xdr:nvPicPr>
        <xdr:cNvPr id="3" name="Picture 2" title="GL 828 Guidance">
          <a:extLst>
            <a:ext uri="{FF2B5EF4-FFF2-40B4-BE49-F238E27FC236}">
              <a16:creationId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488650" y="190500"/>
          <a:ext cx="5953125" cy="6477000"/>
        </a:xfrm>
        <a:prstGeom prst="rect">
          <a:avLst/>
        </a:prstGeom>
        <a:solidFill>
          <a:schemeClr val="bg1"/>
        </a:solidFill>
        <a:ln>
          <a:solidFill>
            <a:sysClr val="windowText" lastClr="000000"/>
          </a:solidFill>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7</xdr:col>
      <xdr:colOff>600075</xdr:colOff>
      <xdr:row>0</xdr:row>
      <xdr:rowOff>0</xdr:rowOff>
    </xdr:from>
    <xdr:to>
      <xdr:col>14</xdr:col>
      <xdr:colOff>0</xdr:colOff>
      <xdr:row>18</xdr:row>
      <xdr:rowOff>123825</xdr:rowOff>
    </xdr:to>
    <xdr:sp macro="" textlink="">
      <xdr:nvSpPr>
        <xdr:cNvPr id="2" name="TextBox 1" title="gl 830 guidance">
          <a:extLst>
            <a:ext uri="{FF2B5EF4-FFF2-40B4-BE49-F238E27FC236}">
              <a16:creationId xmlns:a16="http://schemas.microsoft.com/office/drawing/2014/main" id="{00000000-0008-0000-0E00-000002000000}"/>
            </a:ext>
          </a:extLst>
        </xdr:cNvPr>
        <xdr:cNvSpPr txBox="1"/>
      </xdr:nvSpPr>
      <xdr:spPr>
        <a:xfrm>
          <a:off x="6743700" y="0"/>
          <a:ext cx="3667125" cy="3552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830 Restricted for Debt Service</a:t>
          </a:r>
          <a:r>
            <a:rPr lang="en-US" sz="1100" b="1" i="1" baseline="0"/>
            <a:t> </a:t>
          </a:r>
        </a:p>
        <a:p>
          <a:r>
            <a:rPr lang="en-US" sz="1100" b="0" i="0" baseline="0"/>
            <a:t>This account provides the means for accumulating and restricting fund balance for the future payment of contractual obligations incurred and carried in the Schedule of Long-Term Debt. The balance of this account represents a restriction of both fund cash and fund balance.</a:t>
          </a:r>
        </a:p>
        <a:p>
          <a:endParaRPr lang="en-US" sz="1100" b="0" i="0" baseline="0"/>
        </a:p>
        <a:p>
          <a:pPr algn="ctr"/>
          <a:r>
            <a:rPr lang="en-US" sz="1100" b="0" i="1" baseline="0"/>
            <a:t>Instructions for this sheet</a:t>
          </a:r>
        </a:p>
        <a:p>
          <a:pPr algn="l"/>
          <a:r>
            <a:rPr lang="en-US" sz="1100" b="0" i="0" baseline="0"/>
            <a:t>Space is provided in rows 7-26 for any amounts that are being restricted for debt service payments in funds other than the Debt Service Fund. The extra space is provided in the event of multiple restrictions that the district wants to track separately.</a:t>
          </a:r>
        </a:p>
        <a:p>
          <a:pPr algn="l"/>
          <a:endParaRPr lang="en-US" sz="1100" b="0" i="0" baseline="0"/>
        </a:p>
        <a:p>
          <a:pPr algn="l"/>
          <a:r>
            <a:rPr lang="en-US" sz="1100" b="0" i="0" baseline="0"/>
            <a:t>There is a column for the Debt Service Fund as well, but there is no entry for the DSF. Aside from money needed for arbitrage rebate or any fund balance amounts that are derived from state forest revenues, the residual should go into this account. No entry is necessary.</a:t>
          </a:r>
          <a:endParaRPr lang="en-US" sz="1100" b="0" i="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0</xdr:colOff>
      <xdr:row>0</xdr:row>
      <xdr:rowOff>0</xdr:rowOff>
    </xdr:from>
    <xdr:to>
      <xdr:col>14</xdr:col>
      <xdr:colOff>0</xdr:colOff>
      <xdr:row>8</xdr:row>
      <xdr:rowOff>180974</xdr:rowOff>
    </xdr:to>
    <xdr:sp macro="" textlink="">
      <xdr:nvSpPr>
        <xdr:cNvPr id="2" name="TextBox 1" title="gl 835 guidance">
          <a:extLst>
            <a:ext uri="{FF2B5EF4-FFF2-40B4-BE49-F238E27FC236}">
              <a16:creationId xmlns:a16="http://schemas.microsoft.com/office/drawing/2014/main" id="{00000000-0008-0000-0F00-000002000000}"/>
            </a:ext>
          </a:extLst>
        </xdr:cNvPr>
        <xdr:cNvSpPr txBox="1"/>
      </xdr:nvSpPr>
      <xdr:spPr>
        <a:xfrm>
          <a:off x="8877300" y="0"/>
          <a:ext cx="3657600" cy="17049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u="none"/>
            <a:t>GL 835 Restricted for Arbitrage</a:t>
          </a:r>
          <a:r>
            <a:rPr lang="en-US" sz="1100" b="1" i="1" u="none" baseline="0"/>
            <a:t> Rebate</a:t>
          </a:r>
        </a:p>
        <a:p>
          <a:r>
            <a:rPr lang="en-US" sz="1100" b="0" i="0" u="none" baseline="0"/>
            <a:t>The purpose of this account is to show a restriction on fund balance for the amount of arbitrage rebate payable to the IRS more than one year in the future.</a:t>
          </a:r>
        </a:p>
        <a:p>
          <a:endParaRPr lang="en-US" sz="1100" b="0" i="0" u="none" baseline="0"/>
        </a:p>
        <a:p>
          <a:pPr algn="ctr"/>
          <a:r>
            <a:rPr lang="en-US" sz="1100" b="0" i="1" u="none" baseline="0"/>
            <a:t>Instructions for this sheet</a:t>
          </a:r>
        </a:p>
        <a:p>
          <a:pPr algn="l"/>
          <a:r>
            <a:rPr lang="en-US" sz="1100" b="0" i="0" u="none" baseline="0"/>
            <a:t>If the district owes (or expects to owe) arbitrage rebate that is due more than one year in the future, enter the amount in the appropriate fund column of the amount that is owed.</a:t>
          </a:r>
          <a:endParaRPr lang="en-US" sz="1100" b="0" i="0" u="none"/>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0</xdr:colOff>
      <xdr:row>0</xdr:row>
      <xdr:rowOff>1</xdr:rowOff>
    </xdr:from>
    <xdr:to>
      <xdr:col>16</xdr:col>
      <xdr:colOff>609599</xdr:colOff>
      <xdr:row>11</xdr:row>
      <xdr:rowOff>1</xdr:rowOff>
    </xdr:to>
    <xdr:sp macro="" textlink="">
      <xdr:nvSpPr>
        <xdr:cNvPr id="2" name="TextBox 1" title="gl 840 guidance">
          <a:extLst>
            <a:ext uri="{FF2B5EF4-FFF2-40B4-BE49-F238E27FC236}">
              <a16:creationId xmlns:a16="http://schemas.microsoft.com/office/drawing/2014/main" id="{00000000-0008-0000-1000-000002000000}"/>
            </a:ext>
          </a:extLst>
        </xdr:cNvPr>
        <xdr:cNvSpPr txBox="1"/>
      </xdr:nvSpPr>
      <xdr:spPr>
        <a:xfrm>
          <a:off x="8305800" y="1"/>
          <a:ext cx="4876799"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840 Nonspendable</a:t>
          </a:r>
          <a:r>
            <a:rPr lang="en-US" sz="1100" b="1" i="1" baseline="0"/>
            <a:t> Fund Balance—Inventory and Prepaid Items </a:t>
          </a:r>
        </a:p>
        <a:p>
          <a:r>
            <a:rPr lang="en-US" sz="1100" b="0" i="0" baseline="0"/>
            <a:t>This account balance should reflect the district's recorded inventories and/or prepaid items on the balance sheet. These are assets of the district that are not in spendable form.</a:t>
          </a:r>
        </a:p>
        <a:p>
          <a:endParaRPr lang="en-US" sz="1100" b="0" i="0" baseline="0"/>
        </a:p>
        <a:p>
          <a:pPr algn="ctr"/>
          <a:r>
            <a:rPr lang="en-US" sz="1100" b="0" i="1" baseline="0"/>
            <a:t>Instructions for this sheet</a:t>
          </a:r>
        </a:p>
        <a:p>
          <a:pPr algn="l"/>
          <a:r>
            <a:rPr lang="en-US" sz="1100" b="0" i="0" baseline="0"/>
            <a:t>In the yellow cells, enter the amounts in the appropriate corresponding GL code for the appropriate fund. The General Fund and ASB Fund calculate separately.</a:t>
          </a:r>
        </a:p>
        <a:p>
          <a:pPr algn="l"/>
          <a:endParaRPr lang="en-US" sz="1100" b="0" i="0" baseline="0"/>
        </a:p>
        <a:p>
          <a:pPr algn="l"/>
          <a:r>
            <a:rPr lang="en-US" sz="1100" b="0" i="0" baseline="0"/>
            <a:t>These amounts represent net assets (fund balance) of the district that are not in spendable form.</a:t>
          </a:r>
          <a:endParaRPr lang="en-US" sz="1100" b="0" i="0"/>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7</xdr:col>
      <xdr:colOff>9525</xdr:colOff>
      <xdr:row>0</xdr:row>
      <xdr:rowOff>0</xdr:rowOff>
    </xdr:from>
    <xdr:ext cx="3667125" cy="1914524"/>
    <xdr:sp macro="" textlink="">
      <xdr:nvSpPr>
        <xdr:cNvPr id="2" name="TextBox 1" title="gl 845 guidance">
          <a:extLst>
            <a:ext uri="{FF2B5EF4-FFF2-40B4-BE49-F238E27FC236}">
              <a16:creationId xmlns:a16="http://schemas.microsoft.com/office/drawing/2014/main" id="{00000000-0008-0000-1100-000002000000}"/>
            </a:ext>
          </a:extLst>
        </xdr:cNvPr>
        <xdr:cNvSpPr txBox="1"/>
      </xdr:nvSpPr>
      <xdr:spPr>
        <a:xfrm>
          <a:off x="5600700" y="0"/>
          <a:ext cx="3667125" cy="1914524"/>
        </a:xfrm>
        <a:prstGeom prst="rect">
          <a:avLst/>
        </a:prstGeom>
        <a:solidFill>
          <a:schemeClr val="bg1"/>
        </a:solidFill>
        <a:ln>
          <a:solidFill>
            <a:schemeClr val="bg2">
              <a:lumMod val="25000"/>
            </a:schemeClr>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lang="en-US" sz="1100" b="1" i="1"/>
            <a:t>GL 845 Restricted</a:t>
          </a:r>
          <a:r>
            <a:rPr lang="en-US" sz="1100" b="1" i="1" baseline="0"/>
            <a:t> for Self-Insurance</a:t>
          </a:r>
        </a:p>
        <a:p>
          <a:r>
            <a:rPr lang="en-US" sz="1100" b="0" i="0" baseline="0"/>
            <a:t>This account is used to restrict fund balance for amounts that the district is legally required to maintain as a condition of being self-insured (with the Department of Labor and Industries). </a:t>
          </a:r>
        </a:p>
        <a:p>
          <a:endParaRPr lang="en-US" sz="1100" b="0" i="0" baseline="0"/>
        </a:p>
        <a:p>
          <a:pPr algn="ctr"/>
          <a:r>
            <a:rPr lang="en-US" sz="1100" b="0" i="1" baseline="0"/>
            <a:t>Instructions for this sheet</a:t>
          </a:r>
        </a:p>
        <a:p>
          <a:pPr algn="l"/>
          <a:r>
            <a:rPr lang="en-US" sz="1100" b="0" i="0" baseline="0"/>
            <a:t>If the district is self-insured for industrial insurance, enter the amount that the district is required to maintain in reserve as a condition of being self-insured.</a:t>
          </a:r>
          <a:endParaRPr lang="en-US" sz="1100" b="0" i="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9</xdr:col>
      <xdr:colOff>0</xdr:colOff>
      <xdr:row>0</xdr:row>
      <xdr:rowOff>0</xdr:rowOff>
    </xdr:from>
    <xdr:to>
      <xdr:col>17</xdr:col>
      <xdr:colOff>0</xdr:colOff>
      <xdr:row>12</xdr:row>
      <xdr:rowOff>9524</xdr:rowOff>
    </xdr:to>
    <xdr:sp macro="" textlink="">
      <xdr:nvSpPr>
        <xdr:cNvPr id="2" name="TextBox 1" title="gl 850 guidance">
          <a:extLst>
            <a:ext uri="{FF2B5EF4-FFF2-40B4-BE49-F238E27FC236}">
              <a16:creationId xmlns:a16="http://schemas.microsoft.com/office/drawing/2014/main" id="{00000000-0008-0000-1200-000002000000}"/>
            </a:ext>
          </a:extLst>
        </xdr:cNvPr>
        <xdr:cNvSpPr txBox="1"/>
      </xdr:nvSpPr>
      <xdr:spPr>
        <a:xfrm>
          <a:off x="7515225" y="0"/>
          <a:ext cx="4876800" cy="2295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850 Restricted for</a:t>
          </a:r>
          <a:r>
            <a:rPr lang="en-US" sz="1100" b="1" i="1" baseline="0"/>
            <a:t> Uninsured Risks </a:t>
          </a:r>
          <a:endParaRPr lang="en-US" sz="1100" b="0" i="0" baseline="0"/>
        </a:p>
        <a:p>
          <a:r>
            <a:rPr lang="en-US" sz="1100" b="0" i="0" baseline="0"/>
            <a:t>This account is used to restrict a portion of fund balance for future losses not covered by insurance. The amounts put in this account are required under self-insurance. Contra entries are made to Account 890 Unassigned Fund Balance (GF) or 889 Assigned to Fund Purposes (all other listed funds).</a:t>
          </a:r>
        </a:p>
        <a:p>
          <a:endParaRPr lang="en-US" sz="1100" b="0" i="0" baseline="0"/>
        </a:p>
        <a:p>
          <a:pPr algn="ctr"/>
          <a:r>
            <a:rPr lang="en-US" sz="1100" b="0" i="1" baseline="0"/>
            <a:t>Instructions for this sheet</a:t>
          </a:r>
        </a:p>
        <a:p>
          <a:pPr algn="l"/>
          <a:r>
            <a:rPr lang="en-US" sz="1100" b="0" i="0" baseline="0"/>
            <a:t>If the district maintains self-insurance for items other than industrial insurance, any amounts that the district is required to keep in reserve should be reported in this account. Space is provided for multiple accounts if necessary. Also, any other contractual obligations to maintain coverage in the event of losses not covered by insurance should be reported here.</a:t>
          </a:r>
          <a:endParaRPr lang="en-US" sz="1100" b="1" i="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600075</xdr:colOff>
      <xdr:row>11</xdr:row>
      <xdr:rowOff>0</xdr:rowOff>
    </xdr:to>
    <xdr:sp macro="" textlink="">
      <xdr:nvSpPr>
        <xdr:cNvPr id="2" name="TextBox 1" title="gl 855 guidance">
          <a:extLst>
            <a:ext uri="{FF2B5EF4-FFF2-40B4-BE49-F238E27FC236}">
              <a16:creationId xmlns:a16="http://schemas.microsoft.com/office/drawing/2014/main" id="{00000000-0008-0000-1300-000002000000}"/>
            </a:ext>
          </a:extLst>
        </xdr:cNvPr>
        <xdr:cNvSpPr txBox="1"/>
      </xdr:nvSpPr>
      <xdr:spPr>
        <a:xfrm>
          <a:off x="5514975" y="0"/>
          <a:ext cx="3648075" cy="2295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855 Nonspendable</a:t>
          </a:r>
          <a:r>
            <a:rPr lang="en-US" sz="1100" b="1" i="1" baseline="0"/>
            <a:t> Fund Balance—Trust Principal           </a:t>
          </a:r>
        </a:p>
        <a:p>
          <a:r>
            <a:rPr lang="en-US" sz="1100" b="0" i="0" baseline="0"/>
            <a:t>For use only in trust funds where the principal may not be expended, this account shows the portion of trust assets that represents principal. After the closing of the nonoperating revenue and nonoperating expense accounts, this account is equal to the principal of the trust.</a:t>
          </a:r>
        </a:p>
        <a:p>
          <a:endParaRPr lang="en-US" sz="1100" b="0" i="0" baseline="0"/>
        </a:p>
        <a:p>
          <a:pPr algn="ctr"/>
          <a:r>
            <a:rPr lang="en-US" sz="1100" b="0" i="1" baseline="0"/>
            <a:t>Instructions for this sheet</a:t>
          </a:r>
        </a:p>
        <a:p>
          <a:pPr algn="l"/>
          <a:r>
            <a:rPr lang="en-US" sz="1100" b="0" i="0" baseline="0"/>
            <a:t>If the district has a permanent fund (a donation or other endowment that is limited such that only interest earnings may be spent), enter the amount of the principal of that fund in this account.</a:t>
          </a:r>
          <a:endParaRPr lang="en-US" sz="1100" b="0" i="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600074</xdr:colOff>
      <xdr:row>0</xdr:row>
      <xdr:rowOff>1</xdr:rowOff>
    </xdr:from>
    <xdr:to>
      <xdr:col>12</xdr:col>
      <xdr:colOff>609599</xdr:colOff>
      <xdr:row>10</xdr:row>
      <xdr:rowOff>0</xdr:rowOff>
    </xdr:to>
    <xdr:sp macro="" textlink="">
      <xdr:nvSpPr>
        <xdr:cNvPr id="2" name="TextBox 1" title="gl 861 guidance">
          <a:extLst>
            <a:ext uri="{FF2B5EF4-FFF2-40B4-BE49-F238E27FC236}">
              <a16:creationId xmlns:a16="http://schemas.microsoft.com/office/drawing/2014/main" id="{00000000-0008-0000-1400-000002000000}"/>
            </a:ext>
          </a:extLst>
        </xdr:cNvPr>
        <xdr:cNvSpPr txBox="1"/>
      </xdr:nvSpPr>
      <xdr:spPr>
        <a:xfrm>
          <a:off x="6143624" y="1"/>
          <a:ext cx="4276725" cy="19049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861 Restricted from Bond Proceeds</a:t>
          </a:r>
          <a:endParaRPr lang="en-US" sz="1100" b="1" i="1" baseline="0"/>
        </a:p>
        <a:p>
          <a:r>
            <a:rPr lang="en-US" sz="1100" b="0" i="0" baseline="0"/>
            <a:t>This account is provided to record the amounts remaining from bond issues and earnings from bond proceeds investments that have been allocated for specific projects or the amounts remaining after the proposition projects have been completed.</a:t>
          </a:r>
        </a:p>
        <a:p>
          <a:endParaRPr lang="en-US" sz="1100" b="0" i="0" baseline="0"/>
        </a:p>
        <a:p>
          <a:pPr algn="ctr"/>
          <a:r>
            <a:rPr lang="en-US" sz="1100" b="0" i="1" baseline="0"/>
            <a:t>Instructions for this sheet</a:t>
          </a:r>
        </a:p>
        <a:p>
          <a:pPr algn="l"/>
          <a:r>
            <a:rPr lang="en-US" sz="1100" b="0" i="0" baseline="0"/>
            <a:t>Bonds sold and interest earned should be equal to CPF revenues with a source/use code of 1. Expenditures with a source/use code of 1 should be recorded in the appropriate place.</a:t>
          </a:r>
          <a:endParaRPr lang="en-US" sz="1100" b="0" i="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0</xdr:colOff>
      <xdr:row>0</xdr:row>
      <xdr:rowOff>0</xdr:rowOff>
    </xdr:from>
    <xdr:to>
      <xdr:col>13</xdr:col>
      <xdr:colOff>0</xdr:colOff>
      <xdr:row>10</xdr:row>
      <xdr:rowOff>9524</xdr:rowOff>
    </xdr:to>
    <xdr:sp macro="" textlink="">
      <xdr:nvSpPr>
        <xdr:cNvPr id="2" name="TextBox 1" title="gl 862 guidance">
          <a:extLst>
            <a:ext uri="{FF2B5EF4-FFF2-40B4-BE49-F238E27FC236}">
              <a16:creationId xmlns:a16="http://schemas.microsoft.com/office/drawing/2014/main" id="{00000000-0008-0000-1500-000002000000}"/>
            </a:ext>
          </a:extLst>
        </xdr:cNvPr>
        <xdr:cNvSpPr txBox="1"/>
      </xdr:nvSpPr>
      <xdr:spPr>
        <a:xfrm>
          <a:off x="6153150" y="0"/>
          <a:ext cx="4267200" cy="19145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862</a:t>
          </a:r>
          <a:r>
            <a:rPr lang="en-US" sz="1100" b="1" i="1" baseline="0"/>
            <a:t> Committed from Levy Proceeds</a:t>
          </a:r>
        </a:p>
        <a:p>
          <a:r>
            <a:rPr lang="en-US" sz="1100" b="0" i="0" baseline="0"/>
            <a:t>This account is provided to record the amounts remaining from capital projects levies that have been allocated for specific purposes or the amounts remaining after the proposition projects have been completed.</a:t>
          </a:r>
        </a:p>
        <a:p>
          <a:endParaRPr lang="en-US" sz="1100" b="0" i="0" baseline="0"/>
        </a:p>
        <a:p>
          <a:pPr algn="ctr"/>
          <a:r>
            <a:rPr lang="en-US" sz="1100" b="0" i="1" baseline="0"/>
            <a:t>Instructions for this sheet</a:t>
          </a:r>
        </a:p>
        <a:p>
          <a:pPr algn="l"/>
          <a:r>
            <a:rPr lang="en-US" sz="1100" b="0" i="0" baseline="0"/>
            <a:t>This sheet is used to record transactions (revenues, expenditures) in the CPF with a source/use code of "2".</a:t>
          </a:r>
          <a:endParaRPr lang="en-US" sz="1100" b="0" i="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7</xdr:col>
      <xdr:colOff>9525</xdr:colOff>
      <xdr:row>0</xdr:row>
      <xdr:rowOff>0</xdr:rowOff>
    </xdr:from>
    <xdr:to>
      <xdr:col>13</xdr:col>
      <xdr:colOff>0</xdr:colOff>
      <xdr:row>9</xdr:row>
      <xdr:rowOff>0</xdr:rowOff>
    </xdr:to>
    <xdr:sp macro="" textlink="">
      <xdr:nvSpPr>
        <xdr:cNvPr id="2" name="TextBox 1" title="gl 863 guidance">
          <a:extLst>
            <a:ext uri="{FF2B5EF4-FFF2-40B4-BE49-F238E27FC236}">
              <a16:creationId xmlns:a16="http://schemas.microsoft.com/office/drawing/2014/main" id="{00000000-0008-0000-1600-000002000000}"/>
            </a:ext>
          </a:extLst>
        </xdr:cNvPr>
        <xdr:cNvSpPr txBox="1"/>
      </xdr:nvSpPr>
      <xdr:spPr>
        <a:xfrm>
          <a:off x="6772275" y="0"/>
          <a:ext cx="3648075"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863 Restricted from</a:t>
          </a:r>
          <a:r>
            <a:rPr lang="en-US" sz="1100" b="1" i="1" baseline="0"/>
            <a:t> State Proceeds</a:t>
          </a:r>
        </a:p>
        <a:p>
          <a:r>
            <a:rPr lang="en-US" sz="1100" b="0" i="0" baseline="0"/>
            <a:t>This account is provided to close project revenues and expenditures for projects funded totally or in part with state funds.</a:t>
          </a:r>
        </a:p>
        <a:p>
          <a:endParaRPr lang="en-US" sz="1100" b="0" i="0" baseline="0"/>
        </a:p>
        <a:p>
          <a:pPr algn="ctr"/>
          <a:r>
            <a:rPr lang="en-US" sz="1100" b="0" i="1" baseline="0"/>
            <a:t>Instructions for this sheet</a:t>
          </a:r>
        </a:p>
        <a:p>
          <a:pPr algn="l"/>
          <a:r>
            <a:rPr lang="en-US" sz="1100" b="0" i="0" baseline="0"/>
            <a:t>This sheet is used to record transactions (revenues, expenditures) in the CPF that have a source/use code of "3".</a:t>
          </a:r>
          <a:endParaRPr lang="en-US" sz="1100" b="0" i="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7</xdr:col>
      <xdr:colOff>0</xdr:colOff>
      <xdr:row>0</xdr:row>
      <xdr:rowOff>0</xdr:rowOff>
    </xdr:from>
    <xdr:to>
      <xdr:col>13</xdr:col>
      <xdr:colOff>9525</xdr:colOff>
      <xdr:row>8</xdr:row>
      <xdr:rowOff>9525</xdr:rowOff>
    </xdr:to>
    <xdr:sp macro="" textlink="">
      <xdr:nvSpPr>
        <xdr:cNvPr id="2" name="TextBox 1" title="GL 864 Guiidance">
          <a:extLst>
            <a:ext uri="{FF2B5EF4-FFF2-40B4-BE49-F238E27FC236}">
              <a16:creationId xmlns:a16="http://schemas.microsoft.com/office/drawing/2014/main" id="{00000000-0008-0000-1700-000002000000}"/>
            </a:ext>
          </a:extLst>
        </xdr:cNvPr>
        <xdr:cNvSpPr txBox="1"/>
      </xdr:nvSpPr>
      <xdr:spPr>
        <a:xfrm>
          <a:off x="6762750" y="0"/>
          <a:ext cx="3667125" cy="15335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864 Restricted from</a:t>
          </a:r>
          <a:r>
            <a:rPr lang="en-US" sz="1100" b="1" i="1" baseline="0"/>
            <a:t> Federal Proceeds </a:t>
          </a:r>
        </a:p>
        <a:p>
          <a:r>
            <a:rPr lang="en-US" sz="1100" b="0" i="0" baseline="0"/>
            <a:t>This account is provided to close project revenues and expenditures for projects funded totally or in part by federal agencies.</a:t>
          </a:r>
        </a:p>
        <a:p>
          <a:endParaRPr lang="en-US" sz="1100" b="0" i="0" baseline="0"/>
        </a:p>
        <a:p>
          <a:pPr algn="ctr"/>
          <a:r>
            <a:rPr lang="en-US" sz="1100" b="0" i="1" baseline="0"/>
            <a:t>Instructions for this sheet</a:t>
          </a:r>
        </a:p>
        <a:p>
          <a:pPr algn="l"/>
          <a:r>
            <a:rPr lang="en-US" sz="1100" b="0" i="0" baseline="0"/>
            <a:t>This sheet is for recording transactions (revenues, expenditures) in the CPF that have a source/use code of "4".</a:t>
          </a:r>
          <a:endParaRPr lang="en-US" sz="1100" b="0" i="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7</xdr:col>
      <xdr:colOff>0</xdr:colOff>
      <xdr:row>0</xdr:row>
      <xdr:rowOff>0</xdr:rowOff>
    </xdr:from>
    <xdr:to>
      <xdr:col>13</xdr:col>
      <xdr:colOff>600075</xdr:colOff>
      <xdr:row>10</xdr:row>
      <xdr:rowOff>0</xdr:rowOff>
    </xdr:to>
    <xdr:sp macro="" textlink="">
      <xdr:nvSpPr>
        <xdr:cNvPr id="2" name="TextBox 1" title="GL 865 Guidance">
          <a:extLst>
            <a:ext uri="{FF2B5EF4-FFF2-40B4-BE49-F238E27FC236}">
              <a16:creationId xmlns:a16="http://schemas.microsoft.com/office/drawing/2014/main" id="{00000000-0008-0000-1800-000002000000}"/>
            </a:ext>
          </a:extLst>
        </xdr:cNvPr>
        <xdr:cNvSpPr txBox="1"/>
      </xdr:nvSpPr>
      <xdr:spPr>
        <a:xfrm>
          <a:off x="6762750" y="0"/>
          <a:ext cx="4257675"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865 Restricted from Other Proceeds</a:t>
          </a:r>
          <a:r>
            <a:rPr lang="en-US" sz="1100" b="1" i="1" baseline="0"/>
            <a:t> </a:t>
          </a:r>
        </a:p>
        <a:p>
          <a:r>
            <a:rPr lang="en-US" sz="1100" b="0" i="0" baseline="0"/>
            <a:t>This account is provided to close project revenues and expenditures for projects funded totally or in part by sources other than bond, levy, state, or federal proceeds. For example, the district may receive resources from a private citizen for the construction of a library; these resources would be restricted for that purpose.</a:t>
          </a:r>
        </a:p>
        <a:p>
          <a:endParaRPr lang="en-US" sz="1100" b="0" i="0" baseline="0"/>
        </a:p>
        <a:p>
          <a:pPr algn="ctr"/>
          <a:r>
            <a:rPr lang="en-US" sz="1100" b="0" i="1" baseline="0"/>
            <a:t>Instructions for this sheet</a:t>
          </a:r>
        </a:p>
        <a:p>
          <a:pPr algn="l"/>
          <a:r>
            <a:rPr lang="en-US" sz="1100" b="0" i="0" baseline="0"/>
            <a:t>This sheet is for recording transactions (revenues, expenditures) in the CPF that have a source/use code of "5".</a:t>
          </a:r>
          <a:endParaRPr lang="en-US" sz="1100" b="0" i="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7</xdr:col>
      <xdr:colOff>9525</xdr:colOff>
      <xdr:row>0</xdr:row>
      <xdr:rowOff>0</xdr:rowOff>
    </xdr:from>
    <xdr:to>
      <xdr:col>13</xdr:col>
      <xdr:colOff>0</xdr:colOff>
      <xdr:row>9</xdr:row>
      <xdr:rowOff>0</xdr:rowOff>
    </xdr:to>
    <xdr:sp macro="" textlink="">
      <xdr:nvSpPr>
        <xdr:cNvPr id="2" name="TextBox 1" title="GL 866 Guidance">
          <a:extLst>
            <a:ext uri="{FF2B5EF4-FFF2-40B4-BE49-F238E27FC236}">
              <a16:creationId xmlns:a16="http://schemas.microsoft.com/office/drawing/2014/main" id="{00000000-0008-0000-1900-000002000000}"/>
            </a:ext>
          </a:extLst>
        </xdr:cNvPr>
        <xdr:cNvSpPr txBox="1"/>
      </xdr:nvSpPr>
      <xdr:spPr>
        <a:xfrm>
          <a:off x="6772275" y="0"/>
          <a:ext cx="3648075" cy="171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866</a:t>
          </a:r>
          <a:r>
            <a:rPr lang="en-US" sz="1100" b="1" i="1" baseline="0"/>
            <a:t> Restricted from Impact Fee Proceeds </a:t>
          </a:r>
        </a:p>
        <a:p>
          <a:r>
            <a:rPr lang="en-US" sz="1100" b="0" i="0" baseline="0"/>
            <a:t>This account is provided to close project revenues and expenditures for projects funded totally or in part by impact fees collected in accordance with the Growth Management Act.</a:t>
          </a:r>
        </a:p>
        <a:p>
          <a:endParaRPr lang="en-US" sz="1100" b="0" i="0" baseline="0"/>
        </a:p>
        <a:p>
          <a:pPr algn="ctr"/>
          <a:r>
            <a:rPr lang="en-US" sz="1100" b="0" i="1" baseline="0"/>
            <a:t>Instructions for this sheet</a:t>
          </a:r>
        </a:p>
        <a:p>
          <a:pPr algn="l"/>
          <a:r>
            <a:rPr lang="en-US" sz="1100" b="0" i="0" baseline="0"/>
            <a:t>This sheet is for recording transactions (revenues, expenditures) in the CPF that have a source/use code of "6".</a:t>
          </a:r>
          <a:endParaRPr lang="en-US" sz="1100" b="0" i="0"/>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7</xdr:col>
      <xdr:colOff>0</xdr:colOff>
      <xdr:row>0</xdr:row>
      <xdr:rowOff>1</xdr:rowOff>
    </xdr:from>
    <xdr:to>
      <xdr:col>13</xdr:col>
      <xdr:colOff>0</xdr:colOff>
      <xdr:row>8</xdr:row>
      <xdr:rowOff>1</xdr:rowOff>
    </xdr:to>
    <xdr:sp macro="" textlink="">
      <xdr:nvSpPr>
        <xdr:cNvPr id="2" name="TextBox 1" title="GL 867 Guidance">
          <a:extLst>
            <a:ext uri="{FF2B5EF4-FFF2-40B4-BE49-F238E27FC236}">
              <a16:creationId xmlns:a16="http://schemas.microsoft.com/office/drawing/2014/main" id="{00000000-0008-0000-1A00-000002000000}"/>
            </a:ext>
          </a:extLst>
        </xdr:cNvPr>
        <xdr:cNvSpPr txBox="1"/>
      </xdr:nvSpPr>
      <xdr:spPr>
        <a:xfrm>
          <a:off x="6762750" y="1"/>
          <a:ext cx="3657600"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867</a:t>
          </a:r>
          <a:r>
            <a:rPr lang="en-US" sz="1100" b="1" i="1" baseline="0"/>
            <a:t> Restricted from Mitigation Fee Proceeds</a:t>
          </a:r>
        </a:p>
        <a:p>
          <a:r>
            <a:rPr lang="en-US" sz="1100" b="0" i="0" baseline="0"/>
            <a:t>This account is provided to close project revenues and expenditures for projects funded totally or in part by State Environmental Protection Act (SEPA) mitigation fees.</a:t>
          </a:r>
        </a:p>
        <a:p>
          <a:endParaRPr lang="en-US" sz="1100" b="0" i="0" baseline="0"/>
        </a:p>
        <a:p>
          <a:pPr algn="ctr"/>
          <a:r>
            <a:rPr lang="en-US" sz="1100" b="0" i="1" baseline="0"/>
            <a:t>Instructions for this sheet</a:t>
          </a:r>
        </a:p>
        <a:p>
          <a:pPr algn="l"/>
          <a:r>
            <a:rPr lang="en-US" sz="1100" b="0" i="0" baseline="0"/>
            <a:t>This sheet is for recording transactions (revenues, expenditures) in the CPF that have a source/use code of "7".</a:t>
          </a:r>
          <a:endParaRPr lang="en-US" sz="1100" b="0" i="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0</xdr:colOff>
      <xdr:row>0</xdr:row>
      <xdr:rowOff>0</xdr:rowOff>
    </xdr:from>
    <xdr:to>
      <xdr:col>10</xdr:col>
      <xdr:colOff>571500</xdr:colOff>
      <xdr:row>14</xdr:row>
      <xdr:rowOff>9525</xdr:rowOff>
    </xdr:to>
    <xdr:sp macro="" textlink="">
      <xdr:nvSpPr>
        <xdr:cNvPr id="2" name="TextBox 1" title="GL 869 Guidance">
          <a:extLst>
            <a:ext uri="{FF2B5EF4-FFF2-40B4-BE49-F238E27FC236}">
              <a16:creationId xmlns:a16="http://schemas.microsoft.com/office/drawing/2014/main" id="{159E4D96-8188-400F-9130-DE067C416322}"/>
            </a:ext>
          </a:extLst>
        </xdr:cNvPr>
        <xdr:cNvSpPr txBox="1"/>
      </xdr:nvSpPr>
      <xdr:spPr>
        <a:xfrm>
          <a:off x="5562600" y="0"/>
          <a:ext cx="3619500" cy="32670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868 Restricted from CTE</a:t>
          </a:r>
          <a:r>
            <a:rPr lang="en-US" sz="1100" b="1" i="1" baseline="0"/>
            <a:t> Carryover Resouces </a:t>
          </a:r>
        </a:p>
        <a:p>
          <a:pPr algn="ctr"/>
          <a:endParaRPr lang="en-US" sz="1100" b="1" i="1" baseline="0"/>
        </a:p>
        <a:p>
          <a:pPr algn="l"/>
          <a:r>
            <a:rPr lang="en-US" sz="1100" b="0" i="0" baseline="0"/>
            <a:t>This account is provided to record amounts provided for CTE Major Projects in the Capital Projects Fund.  Only resources annually calculated from the General Fund's CTE Program's end-of-year results and annually redirected to the CPF via the Interfund Transfer process are recorded as annual additions. </a:t>
          </a:r>
        </a:p>
        <a:p>
          <a:pPr algn="l"/>
          <a:endParaRPr lang="en-US" sz="1100" b="0" i="0" baseline="0"/>
        </a:p>
        <a:p>
          <a:pPr algn="l"/>
          <a:r>
            <a:rPr lang="en-US" sz="1100" b="0" i="1" baseline="0"/>
            <a:t>Instructions for this sheet</a:t>
          </a:r>
        </a:p>
        <a:p>
          <a:pPr algn="l"/>
          <a:endParaRPr lang="en-US" sz="1100" b="0" i="1" baseline="0"/>
        </a:p>
        <a:p>
          <a:pPr algn="l"/>
          <a:r>
            <a:rPr lang="en-US" sz="1100" b="0" i="0" baseline="0"/>
            <a:t>This sheet is for recording transactions (resources and expenditures) in the CPF that have a source/use code of "8".</a:t>
          </a:r>
        </a:p>
        <a:p>
          <a:pPr algn="l"/>
          <a:endParaRPr lang="en-US" sz="1100" b="0" i="0" baseline="0"/>
        </a:p>
        <a:p>
          <a:pPr algn="l"/>
          <a:r>
            <a:rPr lang="en-US" sz="1100" b="0" i="0" baseline="0"/>
            <a:t>Other resources dedicated to CTE Major Projects are classified in other applciable CPF Equity accounts determined by the resource type and the limitations or constraints imposed on the use of those resources.</a:t>
          </a:r>
          <a:endParaRPr lang="en-US" sz="1100" b="0" i="0"/>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7</xdr:col>
      <xdr:colOff>0</xdr:colOff>
      <xdr:row>0</xdr:row>
      <xdr:rowOff>0</xdr:rowOff>
    </xdr:from>
    <xdr:to>
      <xdr:col>12</xdr:col>
      <xdr:colOff>600075</xdr:colOff>
      <xdr:row>7</xdr:row>
      <xdr:rowOff>0</xdr:rowOff>
    </xdr:to>
    <xdr:sp macro="" textlink="">
      <xdr:nvSpPr>
        <xdr:cNvPr id="2" name="TextBox 1" title="GL 869 Guidance">
          <a:extLst>
            <a:ext uri="{FF2B5EF4-FFF2-40B4-BE49-F238E27FC236}">
              <a16:creationId xmlns:a16="http://schemas.microsoft.com/office/drawing/2014/main" id="{00000000-0008-0000-1B00-000002000000}"/>
            </a:ext>
          </a:extLst>
        </xdr:cNvPr>
        <xdr:cNvSpPr txBox="1"/>
      </xdr:nvSpPr>
      <xdr:spPr>
        <a:xfrm>
          <a:off x="6762750" y="0"/>
          <a:ext cx="3648075"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869 Restricted from</a:t>
          </a:r>
          <a:r>
            <a:rPr lang="en-US" sz="1100" b="1" i="1" baseline="0"/>
            <a:t> Undistributed Proceeds</a:t>
          </a:r>
        </a:p>
        <a:p>
          <a:r>
            <a:rPr lang="en-US" sz="1100" b="0" i="0" baseline="0"/>
            <a:t>This account is provided to record unassigned amounts distributed to other restriction accounts at year-end.</a:t>
          </a:r>
        </a:p>
        <a:p>
          <a:endParaRPr lang="en-US" sz="1100" b="0" i="0" baseline="0"/>
        </a:p>
        <a:p>
          <a:pPr algn="ctr"/>
          <a:r>
            <a:rPr lang="en-US" sz="1100" b="0" i="1" baseline="0"/>
            <a:t>Instructions for this sheet</a:t>
          </a:r>
        </a:p>
        <a:p>
          <a:pPr algn="l"/>
          <a:r>
            <a:rPr lang="en-US" sz="1100" b="0" i="0" baseline="0"/>
            <a:t>This sheet is for recording transactions (revenues, expenditures) in the CPF that have a source/use code of "9".</a:t>
          </a:r>
          <a:endParaRPr lang="en-US" sz="1100" b="0" i="0"/>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9</xdr:col>
      <xdr:colOff>0</xdr:colOff>
      <xdr:row>0</xdr:row>
      <xdr:rowOff>0</xdr:rowOff>
    </xdr:from>
    <xdr:to>
      <xdr:col>16</xdr:col>
      <xdr:colOff>0</xdr:colOff>
      <xdr:row>12</xdr:row>
      <xdr:rowOff>0</xdr:rowOff>
    </xdr:to>
    <xdr:sp macro="" textlink="">
      <xdr:nvSpPr>
        <xdr:cNvPr id="2" name="TextBox 1" title="GL 870 Guidance">
          <a:extLst>
            <a:ext uri="{FF2B5EF4-FFF2-40B4-BE49-F238E27FC236}">
              <a16:creationId xmlns:a16="http://schemas.microsoft.com/office/drawing/2014/main" id="{00000000-0008-0000-1C00-000002000000}"/>
            </a:ext>
          </a:extLst>
        </xdr:cNvPr>
        <xdr:cNvSpPr txBox="1"/>
      </xdr:nvSpPr>
      <xdr:spPr>
        <a:xfrm>
          <a:off x="9172575" y="0"/>
          <a:ext cx="4267200" cy="2286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870 Committed to Other Purposes </a:t>
          </a:r>
        </a:p>
        <a:p>
          <a:r>
            <a:rPr lang="en-US" sz="1100" b="0" i="0"/>
            <a:t>This</a:t>
          </a:r>
          <a:r>
            <a:rPr lang="en-US" sz="1100" b="0" i="0" baseline="0"/>
            <a:t> account is provided as a means for accumulating and recording commitments of district resources for future uses. Commitments represent the board of directors' intended use of resources, and a resolution has been passed to commit funds for those purposes.</a:t>
          </a:r>
        </a:p>
        <a:p>
          <a:endParaRPr lang="en-US" sz="1100" b="0" i="0" baseline="0"/>
        </a:p>
        <a:p>
          <a:pPr algn="ctr"/>
          <a:r>
            <a:rPr lang="en-US" sz="1100" b="0" i="1" baseline="0"/>
            <a:t>Instructions for this sheet</a:t>
          </a:r>
        </a:p>
        <a:p>
          <a:pPr algn="l"/>
          <a:r>
            <a:rPr lang="en-US" sz="1100" b="0" i="0" baseline="0"/>
            <a:t>If the district has passed any resolutions committing funds for a particular purpose, or if there are existing board policies setting aside funds for a particular purpose other than maintaining a policy of economic stabilization,  record those amounts here. Space is provided for multiple different commitments if needed.</a:t>
          </a:r>
          <a:endParaRPr lang="en-US" sz="1100" b="0" i="0"/>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6</xdr:col>
      <xdr:colOff>0</xdr:colOff>
      <xdr:row>0</xdr:row>
      <xdr:rowOff>0</xdr:rowOff>
    </xdr:from>
    <xdr:to>
      <xdr:col>13</xdr:col>
      <xdr:colOff>0</xdr:colOff>
      <xdr:row>28</xdr:row>
      <xdr:rowOff>171450</xdr:rowOff>
    </xdr:to>
    <xdr:sp macro="" textlink="">
      <xdr:nvSpPr>
        <xdr:cNvPr id="5" name="TextBox 4" title="GL 872 Guidance">
          <a:extLst>
            <a:ext uri="{FF2B5EF4-FFF2-40B4-BE49-F238E27FC236}">
              <a16:creationId xmlns:a16="http://schemas.microsoft.com/office/drawing/2014/main" id="{00000000-0008-0000-1D00-000005000000}"/>
            </a:ext>
          </a:extLst>
        </xdr:cNvPr>
        <xdr:cNvSpPr txBox="1"/>
      </xdr:nvSpPr>
      <xdr:spPr>
        <a:xfrm>
          <a:off x="7105650" y="0"/>
          <a:ext cx="4267200" cy="55054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a:ea typeface="+mn-ea"/>
              <a:cs typeface="+mn-cs"/>
            </a:rPr>
            <a:t>GL 872 Committed to Economic Stabilization</a:t>
          </a:r>
        </a:p>
        <a:p>
          <a:r>
            <a:rPr lang="en-US" sz="1100" b="0" i="0" u="none" strike="noStrike" baseline="0">
              <a:latin typeface="+mn-lt"/>
              <a:ea typeface="+mn-ea"/>
              <a:cs typeface="+mn-cs"/>
            </a:rPr>
            <a:t>Commitments of fund balance require a formal action by the school district’s board of directors, such as a school board policy or a resolution of the board of directors. </a:t>
          </a:r>
        </a:p>
        <a:p>
          <a:endParaRPr lang="en-US" sz="1100" b="0" i="0" u="none" strike="noStrike" baseline="0">
            <a:latin typeface="+mn-lt"/>
            <a:ea typeface="+mn-ea"/>
            <a:cs typeface="+mn-cs"/>
          </a:endParaRPr>
        </a:p>
        <a:p>
          <a:r>
            <a:rPr lang="en-US" sz="1100" b="0" i="0" u="none" strike="noStrike" baseline="0">
              <a:latin typeface="+mn-lt"/>
              <a:ea typeface="+mn-ea"/>
              <a:cs typeface="+mn-cs"/>
            </a:rPr>
            <a:t>Specific circumstances and conditions must be described to set aside funds in this account. Amounts set aside may only be expended when specific conditions exist. These circumstances cannot be expected to routinely occur, and using the term “in an emergency” is not sufficient. If amounts are set aside to offset anticipated revenue shortfalls, the shortfall must be quantifiable and of a magnitude that distinguishes it from other revenue shortfalls that normally occur. </a:t>
          </a:r>
        </a:p>
        <a:p>
          <a:endParaRPr lang="en-US" sz="1100" b="0" i="0" u="none" strike="noStrike" baseline="0">
            <a:latin typeface="+mn-lt"/>
            <a:ea typeface="+mn-ea"/>
            <a:cs typeface="+mn-cs"/>
          </a:endParaRPr>
        </a:p>
        <a:p>
          <a:r>
            <a:rPr lang="en-US" sz="1100" b="0" i="0" u="none" strike="noStrike" baseline="0">
              <a:latin typeface="+mn-lt"/>
              <a:ea typeface="+mn-ea"/>
              <a:cs typeface="+mn-cs"/>
            </a:rPr>
            <a:t>Details of commitments, including the nature of the commitment and the date of the board action creating the commitment, should be included in the Notes to the Financial Statements. </a:t>
          </a:r>
        </a:p>
        <a:p>
          <a:endParaRPr lang="en-US" sz="1100" b="0" i="0" u="none" strike="noStrike" baseline="0">
            <a:latin typeface="+mn-lt"/>
            <a:ea typeface="+mn-ea"/>
            <a:cs typeface="+mn-cs"/>
          </a:endParaRPr>
        </a:p>
        <a:p>
          <a:r>
            <a:rPr lang="en-US" sz="1100" b="0" i="0" u="none" strike="noStrike" baseline="0">
              <a:latin typeface="+mn-lt"/>
              <a:ea typeface="+mn-ea"/>
              <a:cs typeface="+mn-cs"/>
            </a:rPr>
            <a:t>This account is to be used in districts where the school board has taken such action to create an economic stabilization policy which meets the criteria of a stabilization arrangement. The board action taken must outline the amount to be used in such a policy, whether it is a dollar amount or a percentage of the district’s revenues or expenditures. This information must also be included in the Notes to the Financial Statements. </a:t>
          </a:r>
          <a:endParaRPr kumimoji="0" lang="en-US" sz="1100" b="0" i="0" u="none" strike="noStrike" kern="0" cap="none" spc="0" normalizeH="0" baseline="0" noProof="0">
            <a:ln>
              <a:noFill/>
            </a:ln>
            <a:solidFill>
              <a:sysClr val="windowText" lastClr="000000"/>
            </a:solidFill>
            <a:effectLst/>
            <a:uLnTx/>
            <a:uFillTx/>
            <a:latin typeface="Calibri"/>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100" b="0" i="1" u="none" strike="noStrike" kern="0" cap="none" spc="0" normalizeH="0" baseline="0" noProof="0">
            <a:ln>
              <a:noFill/>
            </a:ln>
            <a:solidFill>
              <a:sysClr val="windowText" lastClr="000000"/>
            </a:solidFill>
            <a:effectLst/>
            <a:uLnTx/>
            <a:uFillTx/>
            <a:latin typeface="Calibri"/>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1" u="none" strike="noStrike" kern="0" cap="none" spc="0" normalizeH="0" baseline="0" noProof="0">
              <a:ln>
                <a:noFill/>
              </a:ln>
              <a:solidFill>
                <a:sysClr val="windowText" lastClr="000000"/>
              </a:solidFill>
              <a:effectLst/>
              <a:uLnTx/>
              <a:uFillTx/>
              <a:latin typeface="Calibri"/>
              <a:ea typeface="+mn-ea"/>
              <a:cs typeface="+mn-cs"/>
            </a:rPr>
            <a:t>Instructions for this sheet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If the district has passed a resolution committing funds  in an Economic Stabilization Policy, record those amounts here. Space is provided for multiple  specific  circumstances  and conditions  detailed in the policy, if needed.</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6</xdr:col>
      <xdr:colOff>0</xdr:colOff>
      <xdr:row>0</xdr:row>
      <xdr:rowOff>0</xdr:rowOff>
    </xdr:from>
    <xdr:to>
      <xdr:col>13</xdr:col>
      <xdr:colOff>0</xdr:colOff>
      <xdr:row>28</xdr:row>
      <xdr:rowOff>171450</xdr:rowOff>
    </xdr:to>
    <xdr:sp macro="" textlink="">
      <xdr:nvSpPr>
        <xdr:cNvPr id="2" name="TextBox 1" title="GL 872 Guidance">
          <a:extLst>
            <a:ext uri="{FF2B5EF4-FFF2-40B4-BE49-F238E27FC236}">
              <a16:creationId xmlns:a16="http://schemas.microsoft.com/office/drawing/2014/main" id="{5C469112-6BD8-425C-A100-7A6EF1A6F823}"/>
            </a:ext>
          </a:extLst>
        </xdr:cNvPr>
        <xdr:cNvSpPr txBox="1"/>
      </xdr:nvSpPr>
      <xdr:spPr>
        <a:xfrm>
          <a:off x="7439025" y="0"/>
          <a:ext cx="4267200" cy="5505450"/>
        </a:xfrm>
        <a:prstGeom prst="rect">
          <a:avLst/>
        </a:prstGeom>
        <a:solidFill>
          <a:sysClr val="window" lastClr="FFFFFF"/>
        </a:solidFill>
        <a:ln w="9525" cmpd="sng">
          <a:solidFill>
            <a:sysClr val="window" lastClr="FFFFFF">
              <a:shade val="50000"/>
            </a:sysClr>
          </a:solidFill>
        </a:ln>
        <a:effectLst/>
      </xdr:spPr>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1" i="1" u="none" strike="noStrike" kern="0" cap="none" spc="0" normalizeH="0" baseline="0" noProof="0">
              <a:ln>
                <a:noFill/>
              </a:ln>
              <a:solidFill>
                <a:sysClr val="windowText" lastClr="000000"/>
              </a:solidFill>
              <a:effectLst/>
              <a:uLnTx/>
              <a:uFillTx/>
              <a:latin typeface="Calibri"/>
              <a:ea typeface="+mn-ea"/>
              <a:cs typeface="+mn-cs"/>
            </a:rPr>
            <a:t>GL 873 Committed to Depreciation Sub-Fund Facility Maintenance</a:t>
          </a:r>
        </a:p>
        <a:p>
          <a:r>
            <a:rPr lang="en-US" sz="1100" b="0" i="0" u="none" strike="noStrike" baseline="0">
              <a:latin typeface="+mn-lt"/>
              <a:ea typeface="+mn-ea"/>
              <a:cs typeface="+mn-cs"/>
            </a:rPr>
            <a:t>Commitments of fund balance require a formal action by the school district’s board of directors, such as a school board policy or a resolution of the board of directors. </a:t>
          </a:r>
        </a:p>
        <a:p>
          <a:endParaRPr lang="en-US" sz="1100" b="0" i="0" u="none" strike="noStrike" baseline="0">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0" i="0">
              <a:effectLst/>
              <a:latin typeface="+mn-lt"/>
              <a:ea typeface="+mn-ea"/>
              <a:cs typeface="+mn-cs"/>
            </a:rPr>
            <a:t>The</a:t>
          </a:r>
          <a:r>
            <a:rPr lang="en-US" sz="1100" b="0" i="0" baseline="0">
              <a:effectLst/>
              <a:latin typeface="+mn-lt"/>
              <a:ea typeface="+mn-ea"/>
              <a:cs typeface="+mn-cs"/>
            </a:rPr>
            <a:t> use of GL 873 and the </a:t>
          </a:r>
          <a:r>
            <a:rPr lang="en-US" sz="1100" b="0" i="0">
              <a:effectLst/>
              <a:latin typeface="+mn-lt"/>
              <a:ea typeface="+mn-ea"/>
              <a:cs typeface="+mn-cs"/>
            </a:rPr>
            <a:t>establishment of the depreciation sub-fund is limited to second class school districts with fewer than 2000 students. </a:t>
          </a:r>
          <a:r>
            <a:rPr lang="en-US" sz="1100">
              <a:effectLst/>
              <a:latin typeface="+mn-lt"/>
              <a:ea typeface="+mn-ea"/>
              <a:cs typeface="+mn-cs"/>
            </a:rPr>
            <a:t> </a:t>
          </a:r>
          <a:endParaRPr lang="en-US">
            <a:effectLst/>
          </a:endParaRPr>
        </a:p>
        <a:p>
          <a:endParaRPr lang="en-US" sz="1100" b="0" i="0" u="none" strike="noStrike" baseline="0">
            <a:latin typeface="+mn-lt"/>
            <a:ea typeface="+mn-ea"/>
            <a:cs typeface="+mn-cs"/>
          </a:endParaRPr>
        </a:p>
        <a:p>
          <a:r>
            <a:rPr lang="en-US" sz="1100" b="0" i="0" u="none" strike="noStrike" baseline="0">
              <a:latin typeface="+mn-lt"/>
              <a:ea typeface="+mn-ea"/>
              <a:cs typeface="+mn-cs"/>
            </a:rPr>
            <a:t>Specific circumstances and conditions must be described to set aside funds in this account. Amounts set aside may only be expended when specific conditions exist. </a:t>
          </a:r>
        </a:p>
        <a:p>
          <a:endParaRPr lang="en-US" sz="1100" b="0" i="0" u="none" strike="noStrike" baseline="0">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a:effectLst/>
              <a:latin typeface="+mn-lt"/>
              <a:ea typeface="+mn-ea"/>
              <a:cs typeface="+mn-cs"/>
            </a:rPr>
            <a:t>The depreciation subfund provides for the school district to reserve funds for future facility and equipment needs. Up to two percent of a school district's general fund may be deposited each fiscal year into the depreciation subfund for the purpose of preventative maintenance or emergency facility needs.</a:t>
          </a:r>
        </a:p>
        <a:p>
          <a:endParaRPr lang="en-US" sz="1100" b="0" i="0" u="none" strike="noStrike" baseline="0">
            <a:latin typeface="+mn-lt"/>
            <a:ea typeface="+mn-ea"/>
            <a:cs typeface="+mn-cs"/>
          </a:endParaRPr>
        </a:p>
        <a:p>
          <a:r>
            <a:rPr lang="en-US" sz="1100" b="0" i="0" u="none" strike="noStrike" baseline="0">
              <a:latin typeface="+mn-lt"/>
              <a:ea typeface="+mn-ea"/>
              <a:cs typeface="+mn-cs"/>
            </a:rPr>
            <a:t>Details of commitments, including the nature of the commitment and the date of the board action creating the commitment, should be included in the Notes to the Financial Statements. </a:t>
          </a:r>
          <a:r>
            <a:rPr lang="en-US" sz="1100" b="0" i="0" u="none" strike="noStrike">
              <a:effectLst/>
              <a:latin typeface="+mn-lt"/>
              <a:ea typeface="+mn-ea"/>
              <a:cs typeface="+mn-cs"/>
            </a:rPr>
            <a:t>SB5403 limits the establishment of the depreciation sub-fund to second class school districts with fewer than 2000 students. </a:t>
          </a:r>
          <a:r>
            <a:rPr lang="en-US">
              <a:effectLst/>
            </a:rPr>
            <a:t> </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en-US" sz="1100" b="0" i="1" u="none" strike="noStrike" kern="0" cap="none" spc="0" normalizeH="0" baseline="0" noProof="0">
            <a:ln>
              <a:noFill/>
            </a:ln>
            <a:solidFill>
              <a:sysClr val="windowText" lastClr="000000"/>
            </a:solidFill>
            <a:effectLst/>
            <a:uLnTx/>
            <a:uFillTx/>
            <a:latin typeface="Calibri"/>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1" u="none" strike="noStrike" kern="0" cap="none" spc="0" normalizeH="0" baseline="0" noProof="0">
              <a:ln>
                <a:noFill/>
              </a:ln>
              <a:solidFill>
                <a:sysClr val="windowText" lastClr="000000"/>
              </a:solidFill>
              <a:effectLst/>
              <a:uLnTx/>
              <a:uFillTx/>
              <a:latin typeface="Calibri"/>
              <a:ea typeface="+mn-ea"/>
              <a:cs typeface="+mn-cs"/>
            </a:rPr>
            <a:t>Instructions for this sheet</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If the district has passed a resolution committing funds for use in the Depreciation Sub-Fund for Facility Maintenance, record those amounts here. Space is provided for multiple  specific  circumstances  and conditions  detailed in the policy, if needed.</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6</xdr:col>
      <xdr:colOff>0</xdr:colOff>
      <xdr:row>0</xdr:row>
      <xdr:rowOff>0</xdr:rowOff>
    </xdr:from>
    <xdr:to>
      <xdr:col>13</xdr:col>
      <xdr:colOff>0</xdr:colOff>
      <xdr:row>14</xdr:row>
      <xdr:rowOff>0</xdr:rowOff>
    </xdr:to>
    <xdr:sp macro="" textlink="">
      <xdr:nvSpPr>
        <xdr:cNvPr id="2" name="TextBox 1" title="GL 875 guidance">
          <a:extLst>
            <a:ext uri="{FF2B5EF4-FFF2-40B4-BE49-F238E27FC236}">
              <a16:creationId xmlns:a16="http://schemas.microsoft.com/office/drawing/2014/main" id="{00000000-0008-0000-1E00-000002000000}"/>
            </a:ext>
          </a:extLst>
        </xdr:cNvPr>
        <xdr:cNvSpPr txBox="1"/>
      </xdr:nvSpPr>
      <xdr:spPr>
        <a:xfrm>
          <a:off x="5448300" y="0"/>
          <a:ext cx="4267200" cy="2667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875 Assigned</a:t>
          </a:r>
          <a:r>
            <a:rPr lang="en-US" sz="1100" b="1" i="1" baseline="0"/>
            <a:t> to Contingencies </a:t>
          </a:r>
        </a:p>
        <a:p>
          <a:r>
            <a:rPr lang="en-US" sz="1100" b="0" i="0" baseline="0"/>
            <a:t>This account is used to assign a portion of the school district's fund balance for contingencies, such as unanticipated changes in the tax and spending policies of federal and state governments, court decisions, financial impacts of labor agreements (arbitration), natural disasters, and unexpected or emergency capital expenditures. Assignments represent management's and/or board of directors' intended use of resources.</a:t>
          </a:r>
        </a:p>
        <a:p>
          <a:endParaRPr lang="en-US" sz="1100" b="0" i="0" baseline="0"/>
        </a:p>
        <a:p>
          <a:pPr algn="ctr"/>
          <a:r>
            <a:rPr lang="en-US" sz="1100" b="0" i="1" baseline="0"/>
            <a:t>Instructions for this sheet</a:t>
          </a:r>
        </a:p>
        <a:p>
          <a:pPr algn="l"/>
          <a:r>
            <a:rPr lang="en-US" sz="1100" b="0" i="0" baseline="0"/>
            <a:t>If the district has identified possible contingencies and wishes to set aside money for them without a formal resolution, those amounts should be recorded in this account. Space is provided for multiple contingencies as needed.</a:t>
          </a:r>
          <a:endParaRPr lang="en-US" sz="1100" b="0" i="0"/>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7</xdr:col>
      <xdr:colOff>1</xdr:colOff>
      <xdr:row>0</xdr:row>
      <xdr:rowOff>1</xdr:rowOff>
    </xdr:from>
    <xdr:to>
      <xdr:col>15</xdr:col>
      <xdr:colOff>1</xdr:colOff>
      <xdr:row>10</xdr:row>
      <xdr:rowOff>1</xdr:rowOff>
    </xdr:to>
    <xdr:sp macro="" textlink="">
      <xdr:nvSpPr>
        <xdr:cNvPr id="2" name="TextBox 1" title="GL 884 Guidance">
          <a:extLst>
            <a:ext uri="{FF2B5EF4-FFF2-40B4-BE49-F238E27FC236}">
              <a16:creationId xmlns:a16="http://schemas.microsoft.com/office/drawing/2014/main" id="{00000000-0008-0000-1F00-000002000000}"/>
            </a:ext>
          </a:extLst>
        </xdr:cNvPr>
        <xdr:cNvSpPr txBox="1"/>
      </xdr:nvSpPr>
      <xdr:spPr>
        <a:xfrm>
          <a:off x="5886451" y="1"/>
          <a:ext cx="4876800" cy="1905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884 Assigned</a:t>
          </a:r>
          <a:r>
            <a:rPr lang="en-US" sz="1100" b="1" i="1" baseline="0"/>
            <a:t> to Other Capital Projects </a:t>
          </a:r>
        </a:p>
        <a:p>
          <a:r>
            <a:rPr lang="en-US" sz="1100" b="0" i="0" baseline="0"/>
            <a:t>This account is used to record those funds the district intends to use for capital project purposes other than those funds that have been legally restricted for those purposes. Capital Project Fund bond or levy proceeds, or Transportation Vehicle Fund levy proceeds are never recorded in this account.</a:t>
          </a:r>
        </a:p>
        <a:p>
          <a:endParaRPr lang="en-US" sz="1100" b="0" i="0" baseline="0"/>
        </a:p>
        <a:p>
          <a:pPr algn="ctr"/>
          <a:r>
            <a:rPr lang="en-US" sz="1100" b="0" i="1" baseline="0"/>
            <a:t>Instructions for this sheet</a:t>
          </a:r>
        </a:p>
        <a:p>
          <a:pPr algn="l"/>
          <a:r>
            <a:rPr lang="en-US" sz="1100" b="0" i="0" baseline="0"/>
            <a:t>If the district desires to put money aside for capital improvements using money in the General Fund, space is provided to record those amounts here. In the event of multiple projects, there is additional space provided.</a:t>
          </a:r>
          <a:endParaRPr lang="en-US" sz="1100" b="0" i="0"/>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7</xdr:col>
      <xdr:colOff>1</xdr:colOff>
      <xdr:row>0</xdr:row>
      <xdr:rowOff>1</xdr:rowOff>
    </xdr:from>
    <xdr:to>
      <xdr:col>14</xdr:col>
      <xdr:colOff>1</xdr:colOff>
      <xdr:row>11</xdr:row>
      <xdr:rowOff>1</xdr:rowOff>
    </xdr:to>
    <xdr:sp macro="" textlink="">
      <xdr:nvSpPr>
        <xdr:cNvPr id="2" name="TextBox 1" title="GL 888 Guidance">
          <a:extLst>
            <a:ext uri="{FF2B5EF4-FFF2-40B4-BE49-F238E27FC236}">
              <a16:creationId xmlns:a16="http://schemas.microsoft.com/office/drawing/2014/main" id="{00000000-0008-0000-2000-000002000000}"/>
            </a:ext>
          </a:extLst>
        </xdr:cNvPr>
        <xdr:cNvSpPr txBox="1"/>
      </xdr:nvSpPr>
      <xdr:spPr>
        <a:xfrm>
          <a:off x="6743701" y="1"/>
          <a:ext cx="4267200"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888 Assigned</a:t>
          </a:r>
          <a:r>
            <a:rPr lang="en-US" sz="1100" b="1" i="1" baseline="0"/>
            <a:t> to Other Purposes </a:t>
          </a:r>
        </a:p>
        <a:p>
          <a:r>
            <a:rPr lang="en-US" sz="1100" b="0" i="0" baseline="0"/>
            <a:t>This account is provided as a means to assign a portion of the district's ending fund balance for items that are not recorded in other accounts. Assignments represent management's and/or the board of directors' intended use of resources.</a:t>
          </a:r>
        </a:p>
        <a:p>
          <a:endParaRPr lang="en-US" sz="1100" b="0" i="0" baseline="0"/>
        </a:p>
        <a:p>
          <a:pPr algn="ctr"/>
          <a:r>
            <a:rPr lang="en-US" sz="1100" b="0" i="1" baseline="0"/>
            <a:t>Instructions for this sheet</a:t>
          </a:r>
        </a:p>
        <a:p>
          <a:pPr algn="l"/>
          <a:r>
            <a:rPr lang="en-US" sz="1100" b="0" i="0" baseline="0"/>
            <a:t>Space is provided for the district to record different assignments of fund balance. Assignments represent a desire to spend money for a particular item (such as new curriculum) without the necessity for formal board action.</a:t>
          </a:r>
          <a:endParaRPr lang="en-US" sz="1100" b="0" i="0"/>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0</xdr:colOff>
      <xdr:row>11</xdr:row>
      <xdr:rowOff>0</xdr:rowOff>
    </xdr:to>
    <xdr:sp macro="" textlink="">
      <xdr:nvSpPr>
        <xdr:cNvPr id="2" name="TextBox 1" title="GL 889 Guidance">
          <a:extLst>
            <a:ext uri="{FF2B5EF4-FFF2-40B4-BE49-F238E27FC236}">
              <a16:creationId xmlns:a16="http://schemas.microsoft.com/office/drawing/2014/main" id="{00000000-0008-0000-2100-000002000000}"/>
            </a:ext>
          </a:extLst>
        </xdr:cNvPr>
        <xdr:cNvSpPr txBox="1"/>
      </xdr:nvSpPr>
      <xdr:spPr>
        <a:xfrm>
          <a:off x="0" y="0"/>
          <a:ext cx="6705600"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889 Assigned</a:t>
          </a:r>
          <a:r>
            <a:rPr lang="en-US" sz="1100" b="1" i="1" baseline="0"/>
            <a:t> to Fund Purposes (p 4-36)</a:t>
          </a:r>
        </a:p>
        <a:p>
          <a:pPr algn="ctr"/>
          <a:r>
            <a:rPr lang="en-US" sz="1100" b="1" i="1" baseline="0"/>
            <a:t>All Funds Other Than General Fund</a:t>
          </a:r>
        </a:p>
        <a:p>
          <a:r>
            <a:rPr lang="en-US" sz="1100" b="0" i="0"/>
            <a:t>After the closing</a:t>
          </a:r>
          <a:r>
            <a:rPr lang="en-US" sz="1100" b="0" i="0" baseline="0"/>
            <a:t> of the budgetary, revenue, other financing sources, expenditures, and the establishment of any amounts that are Nonspendable, Restricted, Committed, or otherwise Assigned, this account is equal to the ending available fund balance. The net results of operations is summarized in this account. If there is a deficit balance, it should be recorded in GL 890 Unassigned Fund Balance.</a:t>
          </a:r>
        </a:p>
        <a:p>
          <a:endParaRPr lang="en-US" sz="1100" b="0" i="0" baseline="0"/>
        </a:p>
        <a:p>
          <a:r>
            <a:rPr lang="en-US" sz="1100" b="0" i="0" baseline="0"/>
            <a:t>In the ASB Fund, subsidiary accounts represent the equity of each school's ASB within the district, and the subcategory activities within each school's ASB.</a:t>
          </a:r>
        </a:p>
        <a:p>
          <a:endParaRPr lang="en-US" sz="1100" b="0" i="0" baseline="0"/>
        </a:p>
        <a:p>
          <a:r>
            <a:rPr lang="en-US" sz="1100" b="1" i="1" u="sng" baseline="0"/>
            <a:t>SPECIAL NOTE:</a:t>
          </a:r>
          <a:r>
            <a:rPr lang="en-US" sz="1100" b="1" i="0" u="none" baseline="0"/>
            <a:t> </a:t>
          </a:r>
          <a:r>
            <a:rPr lang="en-US" sz="1100" b="0" i="0" u="none" baseline="0"/>
            <a:t>This is a residual account. No entry on this sheet is necessary.</a:t>
          </a:r>
          <a:endParaRPr lang="en-US" sz="1100" b="1" i="1" u="sng"/>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0</xdr:col>
      <xdr:colOff>1</xdr:colOff>
      <xdr:row>0</xdr:row>
      <xdr:rowOff>0</xdr:rowOff>
    </xdr:from>
    <xdr:to>
      <xdr:col>12</xdr:col>
      <xdr:colOff>1</xdr:colOff>
      <xdr:row>13</xdr:row>
      <xdr:rowOff>0</xdr:rowOff>
    </xdr:to>
    <xdr:sp macro="" textlink="">
      <xdr:nvSpPr>
        <xdr:cNvPr id="2" name="TextBox 1" title="GL 890 Guidance">
          <a:extLst>
            <a:ext uri="{FF2B5EF4-FFF2-40B4-BE49-F238E27FC236}">
              <a16:creationId xmlns:a16="http://schemas.microsoft.com/office/drawing/2014/main" id="{00000000-0008-0000-2200-000002000000}"/>
            </a:ext>
          </a:extLst>
        </xdr:cNvPr>
        <xdr:cNvSpPr txBox="1"/>
      </xdr:nvSpPr>
      <xdr:spPr>
        <a:xfrm>
          <a:off x="1" y="0"/>
          <a:ext cx="7315200" cy="2476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890 Unassigned</a:t>
          </a:r>
          <a:r>
            <a:rPr lang="en-US" sz="1100" b="1" i="1" baseline="0"/>
            <a:t> Fund Balance</a:t>
          </a:r>
        </a:p>
        <a:p>
          <a:pPr algn="l"/>
          <a:r>
            <a:rPr lang="en-US" sz="1100" b="1" i="0" baseline="0"/>
            <a:t>In the General Fund only:</a:t>
          </a:r>
        </a:p>
        <a:p>
          <a:pPr algn="l"/>
          <a:r>
            <a:rPr lang="en-US" sz="1100" b="0" i="0" baseline="0"/>
            <a:t>After the closing of the budgetary, revenue, other financing sources, and expenditure accounts, this account is equal to the excess of assets over liabilities, all Nonspendable amounts set aside, and then all Restrictions, Commitments, and Assignments have been made. The net result of fund operations is summarized in this account.</a:t>
          </a:r>
        </a:p>
        <a:p>
          <a:pPr algn="l"/>
          <a:endParaRPr lang="en-US" sz="1100" b="0" i="0" baseline="0"/>
        </a:p>
        <a:p>
          <a:pPr algn="l"/>
          <a:r>
            <a:rPr lang="en-US" sz="1100" b="1" i="0" baseline="0"/>
            <a:t>In all other funds:</a:t>
          </a:r>
        </a:p>
        <a:p>
          <a:pPr algn="l"/>
          <a:r>
            <a:rPr lang="en-US" sz="1100" b="0" i="0" baseline="0"/>
            <a:t>If after the closing of the budgetary, revenue, other financing sources, and expenditure accounts, and the establishment of any amounts that are Nonspendable, Restricted, or Committed, a fund other than the General Fund has a deficit balance (that is, a negative fund balance), they would record that deficit in this account. Funds other than the General Fund never record a positive amount in this account.</a:t>
          </a:r>
        </a:p>
        <a:p>
          <a:pPr algn="l"/>
          <a:endParaRPr lang="en-US" sz="1100" b="0" i="0" baseline="0"/>
        </a:p>
        <a:p>
          <a:pPr algn="l"/>
          <a:r>
            <a:rPr lang="en-US" sz="1100" b="1" i="1" u="sng" baseline="0"/>
            <a:t>SPECIAL NOTE:</a:t>
          </a:r>
          <a:r>
            <a:rPr lang="en-US" sz="1100" b="0" i="0" u="none" baseline="0"/>
            <a:t> This is a residual account. For the purposes of this reporting tool, no entry is necessary on this sheet.</a:t>
          </a:r>
          <a:endParaRPr lang="en-US" sz="1100" b="1" i="1" u="sng" baseline="0"/>
        </a:p>
        <a:p>
          <a:endParaRPr lang="en-US" sz="1100" b="1" i="1"/>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6</xdr:col>
      <xdr:colOff>0</xdr:colOff>
      <xdr:row>0</xdr:row>
      <xdr:rowOff>0</xdr:rowOff>
    </xdr:from>
    <xdr:to>
      <xdr:col>16</xdr:col>
      <xdr:colOff>0</xdr:colOff>
      <xdr:row>27</xdr:row>
      <xdr:rowOff>133350</xdr:rowOff>
    </xdr:to>
    <xdr:sp macro="" textlink="">
      <xdr:nvSpPr>
        <xdr:cNvPr id="2" name="TextBox 1" title="GL 891 Guidance">
          <a:extLst>
            <a:ext uri="{FF2B5EF4-FFF2-40B4-BE49-F238E27FC236}">
              <a16:creationId xmlns:a16="http://schemas.microsoft.com/office/drawing/2014/main" id="{00000000-0008-0000-2300-000002000000}"/>
            </a:ext>
          </a:extLst>
        </xdr:cNvPr>
        <xdr:cNvSpPr txBox="1"/>
      </xdr:nvSpPr>
      <xdr:spPr>
        <a:xfrm>
          <a:off x="7496175" y="0"/>
          <a:ext cx="6096000" cy="527685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b="1" i="1"/>
            <a:t>GL 891 Unassigned</a:t>
          </a:r>
          <a:r>
            <a:rPr lang="en-US" sz="1100" b="1" i="1" baseline="0"/>
            <a:t> </a:t>
          </a:r>
          <a:r>
            <a:rPr lang="en-US" sz="1100" b="1" i="1"/>
            <a:t> to Minimum Fund Balance Policy </a:t>
          </a:r>
          <a:endParaRPr lang="en-US" sz="1100" b="1" i="1">
            <a:solidFill>
              <a:sysClr val="windowText" lastClr="000000"/>
            </a:solidFill>
          </a:endParaRPr>
        </a:p>
        <a:p>
          <a:endParaRPr lang="en-US" sz="1100" b="0" i="0"/>
        </a:p>
        <a:p>
          <a:r>
            <a:rPr lang="en-US" sz="1100" b="0" i="0" baseline="0"/>
            <a:t>Per GASBS 54, Minimum Fund Balance Policies have no effect on the classification of Fund Balance  for financial reporting .  Note disclosure , however, is required.  </a:t>
          </a:r>
          <a:r>
            <a:rPr lang="en-US" sz="1100" b="0" i="0"/>
            <a:t>This</a:t>
          </a:r>
          <a:r>
            <a:rPr lang="en-US" sz="1100" b="0" i="0" baseline="0"/>
            <a:t> account has been added to the chart of accounts  to allow those districts that wish to segregate and identify the  amounts set aside  by policy on the district's trial balance reports.  Amounts entered into GL 891 are included in the single Unassigned Fund Balance  classification on the F-196.  </a:t>
          </a:r>
          <a:r>
            <a:rPr lang="en-US" sz="1100" b="1" i="0" baseline="0"/>
            <a:t>Use of this account is optional</a:t>
          </a:r>
          <a:r>
            <a:rPr lang="en-US" sz="1100" b="0" i="0" baseline="0"/>
            <a:t>. </a:t>
          </a:r>
        </a:p>
        <a:p>
          <a:endParaRPr lang="en-US" sz="1100" b="0" i="0" baseline="0"/>
        </a:p>
        <a:p>
          <a:r>
            <a:rPr lang="en-US" sz="1100" b="0" i="0" baseline="0"/>
            <a:t>This account is used in districts whose school boards have passed a resolution establishing a policy of maintaining a minimum fund balance in the General Fund. The board policy on such a fiscal strategy should identify whether the amounts dedicated  are for a given dollar amount or if it is based on a percentage of the district's revenues or expenditures.</a:t>
          </a:r>
        </a:p>
        <a:p>
          <a:endParaRPr lang="en-US" sz="1100" b="0" i="0" baseline="0"/>
        </a:p>
        <a:p>
          <a:pPr algn="ctr"/>
          <a:r>
            <a:rPr lang="en-US" sz="1100" b="0" i="1" baseline="0"/>
            <a:t>Instructions for this sheet</a:t>
          </a:r>
        </a:p>
        <a:p>
          <a:pPr algn="l"/>
          <a:r>
            <a:rPr lang="en-US" sz="1100" b="0" i="0" baseline="0"/>
            <a:t>If the district has a board policy that indicates that the districts shall maintain a minimum amount of fund balance, the value of the fund balance set aside can be recorded in this account. There are different options for a minimum fund balance policy; we illustrate three general types here.</a:t>
          </a:r>
        </a:p>
        <a:p>
          <a:pPr algn="l"/>
          <a:endParaRPr lang="en-US" sz="1100" b="0" i="0" baseline="0"/>
        </a:p>
        <a:p>
          <a:pPr algn="l"/>
          <a:r>
            <a:rPr lang="en-US" sz="1100" b="0" i="0" u="sng" baseline="0"/>
            <a:t>Policy based on percentage range</a:t>
          </a:r>
          <a:r>
            <a:rPr lang="en-US" sz="1100" b="0" i="0" u="none" baseline="0"/>
            <a:t> This can be used for a policy based on either a range of expenditures or revenues (the text uses expenditures, but can be changed to revenues if that fits the district policy). Enter the base being used, then the top and bottom percentages of the range to be used.  In the last cell in this group, enter the amount being set aside for meeting the policy (it should be somewhere between the min/max values).</a:t>
          </a:r>
        </a:p>
        <a:p>
          <a:pPr algn="l"/>
          <a:endParaRPr lang="en-US" sz="1100" b="0" i="0" u="sng"/>
        </a:p>
        <a:p>
          <a:pPr algn="l"/>
          <a:r>
            <a:rPr lang="en-US" sz="1100" b="0" i="0" u="sng"/>
            <a:t>Policy</a:t>
          </a:r>
          <a:r>
            <a:rPr lang="en-US" sz="1100" b="0" i="0" u="sng" baseline="0"/>
            <a:t> based on single percentage</a:t>
          </a:r>
          <a:r>
            <a:rPr lang="en-US" sz="1100" b="0" i="0" u="none" baseline="0"/>
            <a:t> If the district's policy is a single percentage (e.g. 5%), enter the base used and the percentage amount.  In the yellow cell, enter the amount used to meet the policy (it should be equal to the amount calculated).</a:t>
          </a:r>
        </a:p>
        <a:p>
          <a:pPr algn="l"/>
          <a:endParaRPr lang="en-US" sz="1100" b="0" i="0" u="none" baseline="0"/>
        </a:p>
        <a:p>
          <a:pPr algn="l"/>
          <a:r>
            <a:rPr lang="en-US" sz="1100" b="0" i="0" u="sng" baseline="0"/>
            <a:t>Policy based on single amount</a:t>
          </a:r>
          <a:r>
            <a:rPr lang="en-US" sz="1100" b="0" i="0" u="none" baseline="0"/>
            <a:t> Enter the amount stated in the district's policy.</a:t>
          </a:r>
          <a:endParaRPr lang="en-US" sz="1100" b="0" i="0" u="sng"/>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aul.Stone@k12.wa.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sheetPr>
  <dimension ref="B1:K32"/>
  <sheetViews>
    <sheetView workbookViewId="0">
      <selection activeCell="C1" sqref="C1"/>
    </sheetView>
  </sheetViews>
  <sheetFormatPr defaultRowHeight="14.4"/>
  <cols>
    <col min="1" max="1" width="4.5546875" customWidth="1"/>
    <col min="2" max="2" width="94.6640625" customWidth="1"/>
  </cols>
  <sheetData>
    <row r="1" spans="2:11" ht="45.6" customHeight="1" thickBot="1">
      <c r="B1" s="185" t="s">
        <v>2677</v>
      </c>
    </row>
    <row r="2" spans="2:11" ht="21.6" thickBot="1">
      <c r="B2" s="188" t="s">
        <v>1483</v>
      </c>
      <c r="C2" s="107"/>
      <c r="D2" s="107"/>
      <c r="E2" s="107"/>
      <c r="G2" s="107"/>
      <c r="H2" s="107"/>
      <c r="I2" s="107"/>
      <c r="J2" s="107"/>
      <c r="K2" s="107"/>
    </row>
    <row r="3" spans="2:11" ht="31.2">
      <c r="B3" s="189" t="s">
        <v>2679</v>
      </c>
    </row>
    <row r="4" spans="2:11" ht="31.2">
      <c r="B4" s="189" t="s">
        <v>2525</v>
      </c>
    </row>
    <row r="5" spans="2:11" ht="36" customHeight="1">
      <c r="B5" s="189" t="s">
        <v>2532</v>
      </c>
    </row>
    <row r="6" spans="2:11" ht="16.2" customHeight="1">
      <c r="B6" s="190" t="s">
        <v>1487</v>
      </c>
    </row>
    <row r="7" spans="2:11" ht="36.75" customHeight="1">
      <c r="B7" s="186" t="s">
        <v>2533</v>
      </c>
    </row>
    <row r="8" spans="2:11" ht="36.75" customHeight="1">
      <c r="B8" s="189" t="s">
        <v>2526</v>
      </c>
    </row>
    <row r="9" spans="2:11" ht="36.75" customHeight="1">
      <c r="B9" s="190" t="s">
        <v>1486</v>
      </c>
    </row>
    <row r="10" spans="2:11" ht="26.25" customHeight="1">
      <c r="B10" s="187" t="s">
        <v>798</v>
      </c>
    </row>
    <row r="11" spans="2:11" ht="18">
      <c r="B11" s="186" t="s">
        <v>2534</v>
      </c>
    </row>
    <row r="12" spans="2:11" ht="15.6">
      <c r="B12" s="186" t="s">
        <v>1187</v>
      </c>
    </row>
    <row r="13" spans="2:11" ht="15.6">
      <c r="B13" s="240" t="s">
        <v>2680</v>
      </c>
    </row>
    <row r="14" spans="2:11" ht="15.6">
      <c r="B14" s="240" t="s">
        <v>2681</v>
      </c>
    </row>
    <row r="15" spans="2:11" ht="21" customHeight="1" thickBot="1">
      <c r="B15" s="189" t="s">
        <v>2524</v>
      </c>
    </row>
    <row r="16" spans="2:11" ht="21" customHeight="1">
      <c r="B16" s="241" t="s">
        <v>1573</v>
      </c>
    </row>
    <row r="17" spans="2:2" ht="21" customHeight="1">
      <c r="B17" s="242" t="s">
        <v>1517</v>
      </c>
    </row>
    <row r="18" spans="2:2" ht="15.6">
      <c r="B18" s="243" t="s">
        <v>1518</v>
      </c>
    </row>
    <row r="19" spans="2:2" ht="31.2">
      <c r="B19" s="244" t="s">
        <v>1984</v>
      </c>
    </row>
    <row r="20" spans="2:2" ht="15.6">
      <c r="B20" s="244" t="s">
        <v>1519</v>
      </c>
    </row>
    <row r="21" spans="2:2" ht="15.6">
      <c r="B21" s="245" t="s">
        <v>1520</v>
      </c>
    </row>
    <row r="22" spans="2:2" ht="51" customHeight="1" thickBot="1">
      <c r="B22" s="246" t="s">
        <v>2528</v>
      </c>
    </row>
    <row r="23" spans="2:2" ht="5.25" customHeight="1">
      <c r="B23" s="182"/>
    </row>
    <row r="24" spans="2:2" ht="19.8" customHeight="1">
      <c r="B24" s="183" t="s">
        <v>1484</v>
      </c>
    </row>
    <row r="25" spans="2:2" ht="41.4" customHeight="1">
      <c r="B25" s="184" t="s">
        <v>1552</v>
      </c>
    </row>
    <row r="26" spans="2:2" ht="39" customHeight="1">
      <c r="B26" s="185" t="s">
        <v>2678</v>
      </c>
    </row>
    <row r="27" spans="2:2" ht="19.8" customHeight="1">
      <c r="B27" s="530" t="s">
        <v>2523</v>
      </c>
    </row>
    <row r="28" spans="2:2" ht="16.5" customHeight="1">
      <c r="B28" s="531" t="s">
        <v>2522</v>
      </c>
    </row>
    <row r="29" spans="2:2" ht="16.5" customHeight="1">
      <c r="B29" s="6"/>
    </row>
    <row r="31" spans="2:2" ht="15" customHeight="1"/>
    <row r="32" spans="2:2" ht="15" customHeight="1"/>
  </sheetData>
  <hyperlinks>
    <hyperlink ref="B28" r:id="rId1" xr:uid="{4AF45D09-6EF2-450F-A73E-0D72857451F4}"/>
  </hyperlinks>
  <pageMargins left="0.7" right="0.45" top="0.65" bottom="0.3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C1:V369"/>
  <sheetViews>
    <sheetView workbookViewId="0">
      <pane ySplit="1" topLeftCell="A2" activePane="bottomLeft" state="frozen"/>
      <selection pane="bottomLeft" activeCell="E21" sqref="E21"/>
    </sheetView>
  </sheetViews>
  <sheetFormatPr defaultRowHeight="14.4"/>
  <cols>
    <col min="1" max="2" width="1.6640625" customWidth="1"/>
    <col min="3" max="3" width="4" bestFit="1" customWidth="1"/>
    <col min="4" max="4" width="6.88671875" style="66" bestFit="1" customWidth="1"/>
    <col min="5" max="5" width="34.88671875" bestFit="1" customWidth="1"/>
    <col min="6" max="6" width="5.21875" bestFit="1" customWidth="1"/>
    <col min="7" max="7" width="7.21875" bestFit="1" customWidth="1"/>
    <col min="8" max="8" width="8.33203125" bestFit="1" customWidth="1"/>
    <col min="9" max="9" width="3.88671875" style="66" customWidth="1"/>
    <col min="11" max="12" width="2" bestFit="1" customWidth="1"/>
    <col min="13" max="13" width="2.5546875" customWidth="1"/>
    <col min="14" max="14" width="2" bestFit="1" customWidth="1"/>
    <col min="15" max="15" width="2.109375" customWidth="1"/>
    <col min="16" max="16" width="6.88671875" bestFit="1" customWidth="1"/>
    <col min="17" max="17" width="42.109375" bestFit="1" customWidth="1"/>
    <col min="18" max="18" width="5.21875" style="24" bestFit="1" customWidth="1"/>
    <col min="19" max="19" width="7.21875" style="25" bestFit="1" customWidth="1"/>
    <col min="20" max="20" width="8.33203125" style="25" bestFit="1" customWidth="1"/>
    <col min="21" max="21" width="4.77734375" style="66" customWidth="1"/>
    <col min="22" max="23" width="5.77734375" customWidth="1"/>
  </cols>
  <sheetData>
    <row r="1" spans="3:22" ht="30.6" customHeight="1">
      <c r="D1" s="300" t="s">
        <v>79</v>
      </c>
      <c r="E1" s="281" t="s">
        <v>2652</v>
      </c>
      <c r="F1" s="282" t="s">
        <v>739</v>
      </c>
      <c r="G1" s="282" t="s">
        <v>740</v>
      </c>
      <c r="H1" s="283" t="s">
        <v>741</v>
      </c>
      <c r="I1" s="66">
        <f>SUM(I2:I334)</f>
        <v>92</v>
      </c>
      <c r="K1">
        <f>SUM(W2:W334)</f>
        <v>0</v>
      </c>
      <c r="L1" t="e">
        <f>SUM(#REF!)</f>
        <v>#REF!</v>
      </c>
      <c r="M1" s="66"/>
      <c r="P1" s="280" t="s">
        <v>79</v>
      </c>
      <c r="Q1" s="476" t="s">
        <v>2653</v>
      </c>
      <c r="R1" s="282" t="s">
        <v>739</v>
      </c>
      <c r="S1" s="282" t="s">
        <v>740</v>
      </c>
      <c r="T1" s="283" t="s">
        <v>741</v>
      </c>
      <c r="U1" s="66">
        <f>SUM(U2:U331)</f>
        <v>92</v>
      </c>
    </row>
    <row r="2" spans="3:22">
      <c r="C2" s="66">
        <v>1</v>
      </c>
      <c r="D2" s="301" t="s">
        <v>297</v>
      </c>
      <c r="E2" s="139" t="s">
        <v>298</v>
      </c>
      <c r="F2" s="66">
        <v>1</v>
      </c>
      <c r="G2" s="66" t="s">
        <v>773</v>
      </c>
      <c r="H2" s="74" t="s">
        <v>771</v>
      </c>
      <c r="I2" s="299">
        <f t="shared" ref="I2:I65" si="0">IF(+G2="cash",1,0)</f>
        <v>0</v>
      </c>
      <c r="K2" s="66">
        <f t="shared" ref="K2:K65" si="1">+F2-R2</f>
        <v>0</v>
      </c>
      <c r="L2" s="66">
        <f t="shared" ref="L2:L65" si="2">+I2-U2</f>
        <v>0</v>
      </c>
      <c r="M2" s="66"/>
      <c r="N2" s="307">
        <f t="shared" ref="N2:N65" si="3">+P2-D2</f>
        <v>0</v>
      </c>
      <c r="P2" s="284" t="s">
        <v>297</v>
      </c>
      <c r="Q2" s="139" t="s">
        <v>1728</v>
      </c>
      <c r="R2" s="66">
        <v>1</v>
      </c>
      <c r="S2" s="66" t="s">
        <v>773</v>
      </c>
      <c r="T2" s="74" t="s">
        <v>771</v>
      </c>
      <c r="U2" s="299">
        <f t="shared" ref="U2:U65" si="4">IF(+S2="cash",1,0)</f>
        <v>0</v>
      </c>
      <c r="V2" s="161"/>
    </row>
    <row r="3" spans="3:22">
      <c r="C3" s="358">
        <v>2</v>
      </c>
      <c r="D3" s="301" t="s">
        <v>424</v>
      </c>
      <c r="E3" s="139" t="s">
        <v>425</v>
      </c>
      <c r="F3" s="66">
        <v>2</v>
      </c>
      <c r="G3" s="66" t="s">
        <v>773</v>
      </c>
      <c r="H3" s="74" t="s">
        <v>771</v>
      </c>
      <c r="I3" s="299">
        <f t="shared" si="0"/>
        <v>0</v>
      </c>
      <c r="K3" s="66">
        <f t="shared" si="1"/>
        <v>0</v>
      </c>
      <c r="L3" s="66">
        <f t="shared" si="2"/>
        <v>0</v>
      </c>
      <c r="M3" s="66"/>
      <c r="N3" s="307">
        <f t="shared" si="3"/>
        <v>0</v>
      </c>
      <c r="P3" s="284" t="s">
        <v>424</v>
      </c>
      <c r="Q3" s="139" t="s">
        <v>1795</v>
      </c>
      <c r="R3" s="66">
        <v>2</v>
      </c>
      <c r="S3" s="66" t="s">
        <v>773</v>
      </c>
      <c r="T3" s="74" t="s">
        <v>771</v>
      </c>
      <c r="U3" s="299">
        <f t="shared" si="4"/>
        <v>0</v>
      </c>
      <c r="V3" s="161"/>
    </row>
    <row r="4" spans="3:22">
      <c r="C4" s="358">
        <v>3</v>
      </c>
      <c r="D4" s="301" t="s">
        <v>446</v>
      </c>
      <c r="E4" s="139" t="s">
        <v>447</v>
      </c>
      <c r="F4" s="66">
        <v>2</v>
      </c>
      <c r="G4" s="66" t="s">
        <v>770</v>
      </c>
      <c r="H4" s="74" t="s">
        <v>771</v>
      </c>
      <c r="I4" s="299">
        <f t="shared" si="0"/>
        <v>1</v>
      </c>
      <c r="K4" s="66">
        <f t="shared" si="1"/>
        <v>0</v>
      </c>
      <c r="L4" s="66">
        <f t="shared" si="2"/>
        <v>0</v>
      </c>
      <c r="M4" s="66"/>
      <c r="N4" s="307">
        <f t="shared" si="3"/>
        <v>0</v>
      </c>
      <c r="P4" s="284" t="s">
        <v>446</v>
      </c>
      <c r="Q4" s="139" t="s">
        <v>1806</v>
      </c>
      <c r="R4" s="66">
        <v>2</v>
      </c>
      <c r="S4" s="66" t="s">
        <v>770</v>
      </c>
      <c r="T4" s="74" t="s">
        <v>771</v>
      </c>
      <c r="U4" s="299">
        <f t="shared" si="4"/>
        <v>1</v>
      </c>
      <c r="V4" s="161"/>
    </row>
    <row r="5" spans="3:22">
      <c r="C5" s="358">
        <v>4</v>
      </c>
      <c r="D5" s="301" t="s">
        <v>548</v>
      </c>
      <c r="E5" s="139" t="s">
        <v>549</v>
      </c>
      <c r="F5" s="66">
        <v>1</v>
      </c>
      <c r="G5" s="66" t="s">
        <v>773</v>
      </c>
      <c r="H5" s="74" t="s">
        <v>771</v>
      </c>
      <c r="I5" s="299">
        <f t="shared" si="0"/>
        <v>0</v>
      </c>
      <c r="K5" s="66">
        <f t="shared" si="1"/>
        <v>0</v>
      </c>
      <c r="L5" s="66">
        <f t="shared" si="2"/>
        <v>0</v>
      </c>
      <c r="M5" s="66"/>
      <c r="N5" s="307">
        <f t="shared" si="3"/>
        <v>0</v>
      </c>
      <c r="P5" s="284" t="s">
        <v>548</v>
      </c>
      <c r="Q5" s="139" t="s">
        <v>1856</v>
      </c>
      <c r="R5" s="66">
        <v>1</v>
      </c>
      <c r="S5" s="66" t="s">
        <v>773</v>
      </c>
      <c r="T5" s="74" t="s">
        <v>771</v>
      </c>
      <c r="U5" s="299">
        <f t="shared" si="4"/>
        <v>0</v>
      </c>
      <c r="V5" s="161"/>
    </row>
    <row r="6" spans="3:22">
      <c r="C6" s="358">
        <v>5</v>
      </c>
      <c r="D6" s="301" t="s">
        <v>572</v>
      </c>
      <c r="E6" s="139" t="s">
        <v>573</v>
      </c>
      <c r="F6" s="66">
        <v>1</v>
      </c>
      <c r="G6" s="66" t="s">
        <v>773</v>
      </c>
      <c r="H6" s="74" t="s">
        <v>771</v>
      </c>
      <c r="I6" s="299">
        <f t="shared" si="0"/>
        <v>0</v>
      </c>
      <c r="K6" s="66">
        <f t="shared" si="1"/>
        <v>0</v>
      </c>
      <c r="L6" s="66">
        <f t="shared" si="2"/>
        <v>0</v>
      </c>
      <c r="M6" s="66"/>
      <c r="N6" s="307">
        <f t="shared" si="3"/>
        <v>0</v>
      </c>
      <c r="P6" s="284" t="s">
        <v>572</v>
      </c>
      <c r="Q6" s="139" t="s">
        <v>1868</v>
      </c>
      <c r="R6" s="66">
        <v>1</v>
      </c>
      <c r="S6" s="66" t="s">
        <v>773</v>
      </c>
      <c r="T6" s="74" t="s">
        <v>771</v>
      </c>
      <c r="U6" s="299">
        <f t="shared" si="4"/>
        <v>0</v>
      </c>
      <c r="V6" s="161"/>
    </row>
    <row r="7" spans="3:22">
      <c r="C7" s="358">
        <v>6</v>
      </c>
      <c r="D7" s="301" t="s">
        <v>175</v>
      </c>
      <c r="E7" s="139" t="s">
        <v>176</v>
      </c>
      <c r="F7" s="66">
        <v>2</v>
      </c>
      <c r="G7" s="66" t="s">
        <v>770</v>
      </c>
      <c r="H7" s="74" t="s">
        <v>771</v>
      </c>
      <c r="I7" s="299">
        <f t="shared" si="0"/>
        <v>1</v>
      </c>
      <c r="K7" s="66">
        <f t="shared" si="1"/>
        <v>0</v>
      </c>
      <c r="L7" s="66">
        <f t="shared" si="2"/>
        <v>0</v>
      </c>
      <c r="M7" s="66"/>
      <c r="N7" s="307">
        <f t="shared" si="3"/>
        <v>0</v>
      </c>
      <c r="P7" s="284" t="s">
        <v>175</v>
      </c>
      <c r="Q7" s="139" t="s">
        <v>1665</v>
      </c>
      <c r="R7" s="66">
        <v>2</v>
      </c>
      <c r="S7" s="66" t="s">
        <v>770</v>
      </c>
      <c r="T7" s="74" t="s">
        <v>771</v>
      </c>
      <c r="U7" s="299">
        <f t="shared" si="4"/>
        <v>1</v>
      </c>
      <c r="V7" s="161"/>
    </row>
    <row r="8" spans="3:22">
      <c r="C8" s="358">
        <v>7</v>
      </c>
      <c r="D8" s="301" t="s">
        <v>97</v>
      </c>
      <c r="E8" s="139" t="s">
        <v>360</v>
      </c>
      <c r="F8" s="66">
        <v>1</v>
      </c>
      <c r="G8" s="66" t="s">
        <v>773</v>
      </c>
      <c r="H8" s="74" t="s">
        <v>771</v>
      </c>
      <c r="I8" s="299">
        <f t="shared" si="0"/>
        <v>0</v>
      </c>
      <c r="K8" s="66">
        <f t="shared" si="1"/>
        <v>0</v>
      </c>
      <c r="L8" s="66">
        <f t="shared" si="2"/>
        <v>0</v>
      </c>
      <c r="M8" s="66"/>
      <c r="N8" s="307">
        <f t="shared" si="3"/>
        <v>0</v>
      </c>
      <c r="P8" s="284" t="s">
        <v>97</v>
      </c>
      <c r="Q8" s="139" t="s">
        <v>1760</v>
      </c>
      <c r="R8" s="66">
        <v>1</v>
      </c>
      <c r="S8" s="66" t="s">
        <v>773</v>
      </c>
      <c r="T8" s="74" t="s">
        <v>771</v>
      </c>
      <c r="U8" s="299">
        <f t="shared" si="4"/>
        <v>0</v>
      </c>
      <c r="V8" s="161"/>
    </row>
    <row r="9" spans="3:22">
      <c r="C9" s="358">
        <v>8</v>
      </c>
      <c r="D9" s="301" t="s">
        <v>376</v>
      </c>
      <c r="E9" s="139" t="s">
        <v>377</v>
      </c>
      <c r="F9" s="66">
        <v>1</v>
      </c>
      <c r="G9" s="66" t="s">
        <v>773</v>
      </c>
      <c r="H9" s="74" t="s">
        <v>771</v>
      </c>
      <c r="I9" s="299">
        <f t="shared" si="0"/>
        <v>0</v>
      </c>
      <c r="K9" s="66">
        <f t="shared" si="1"/>
        <v>0</v>
      </c>
      <c r="L9" s="66">
        <f t="shared" si="2"/>
        <v>0</v>
      </c>
      <c r="M9" s="66"/>
      <c r="N9" s="307">
        <f t="shared" si="3"/>
        <v>0</v>
      </c>
      <c r="P9" s="284" t="s">
        <v>376</v>
      </c>
      <c r="Q9" s="139" t="s">
        <v>1770</v>
      </c>
      <c r="R9" s="66">
        <v>1</v>
      </c>
      <c r="S9" s="66" t="s">
        <v>773</v>
      </c>
      <c r="T9" s="74" t="s">
        <v>771</v>
      </c>
      <c r="U9" s="299">
        <f t="shared" si="4"/>
        <v>0</v>
      </c>
      <c r="V9" s="161"/>
    </row>
    <row r="10" spans="3:22">
      <c r="C10" s="358">
        <v>9</v>
      </c>
      <c r="D10" s="301" t="s">
        <v>225</v>
      </c>
      <c r="E10" s="139" t="s">
        <v>226</v>
      </c>
      <c r="F10" s="66">
        <v>1</v>
      </c>
      <c r="G10" s="66" t="s">
        <v>773</v>
      </c>
      <c r="H10" s="74" t="s">
        <v>771</v>
      </c>
      <c r="I10" s="299">
        <f t="shared" si="0"/>
        <v>0</v>
      </c>
      <c r="K10" s="66">
        <f t="shared" si="1"/>
        <v>0</v>
      </c>
      <c r="L10" s="66">
        <f t="shared" si="2"/>
        <v>0</v>
      </c>
      <c r="M10" s="66"/>
      <c r="N10" s="307">
        <f t="shared" si="3"/>
        <v>0</v>
      </c>
      <c r="P10" s="284" t="s">
        <v>225</v>
      </c>
      <c r="Q10" s="139" t="s">
        <v>1692</v>
      </c>
      <c r="R10" s="66">
        <v>1</v>
      </c>
      <c r="S10" s="66" t="s">
        <v>773</v>
      </c>
      <c r="T10" s="74" t="s">
        <v>771</v>
      </c>
      <c r="U10" s="299">
        <f t="shared" si="4"/>
        <v>0</v>
      </c>
      <c r="V10" s="161"/>
    </row>
    <row r="11" spans="3:22">
      <c r="C11" s="358">
        <v>10</v>
      </c>
      <c r="D11" s="301" t="s">
        <v>354</v>
      </c>
      <c r="E11" s="139" t="s">
        <v>355</v>
      </c>
      <c r="F11" s="66">
        <v>1</v>
      </c>
      <c r="G11" s="66" t="s">
        <v>773</v>
      </c>
      <c r="H11" s="74" t="s">
        <v>771</v>
      </c>
      <c r="I11" s="299">
        <f t="shared" si="0"/>
        <v>0</v>
      </c>
      <c r="K11" s="66">
        <f t="shared" si="1"/>
        <v>0</v>
      </c>
      <c r="L11" s="66">
        <f t="shared" si="2"/>
        <v>0</v>
      </c>
      <c r="M11" s="66"/>
      <c r="N11" s="307">
        <f t="shared" si="3"/>
        <v>0</v>
      </c>
      <c r="P11" s="284" t="s">
        <v>354</v>
      </c>
      <c r="Q11" s="139" t="s">
        <v>1757</v>
      </c>
      <c r="R11" s="66">
        <v>1</v>
      </c>
      <c r="S11" s="66" t="s">
        <v>773</v>
      </c>
      <c r="T11" s="74" t="s">
        <v>771</v>
      </c>
      <c r="U11" s="299">
        <f t="shared" si="4"/>
        <v>0</v>
      </c>
      <c r="V11" s="161"/>
    </row>
    <row r="12" spans="3:22">
      <c r="C12" s="358">
        <v>11</v>
      </c>
      <c r="D12" s="301" t="s">
        <v>671</v>
      </c>
      <c r="E12" s="139" t="s">
        <v>672</v>
      </c>
      <c r="F12" s="66">
        <v>1</v>
      </c>
      <c r="G12" s="66" t="s">
        <v>773</v>
      </c>
      <c r="H12" s="74" t="s">
        <v>771</v>
      </c>
      <c r="I12" s="299">
        <f t="shared" si="0"/>
        <v>0</v>
      </c>
      <c r="K12" s="66">
        <f t="shared" si="1"/>
        <v>0</v>
      </c>
      <c r="L12" s="66">
        <f t="shared" si="2"/>
        <v>0</v>
      </c>
      <c r="M12" s="66"/>
      <c r="N12" s="307">
        <f t="shared" si="3"/>
        <v>0</v>
      </c>
      <c r="P12" s="284" t="s">
        <v>671</v>
      </c>
      <c r="Q12" s="139" t="s">
        <v>1921</v>
      </c>
      <c r="R12" s="66">
        <v>1</v>
      </c>
      <c r="S12" s="66" t="s">
        <v>773</v>
      </c>
      <c r="T12" s="74" t="s">
        <v>771</v>
      </c>
      <c r="U12" s="299">
        <f t="shared" si="4"/>
        <v>0</v>
      </c>
      <c r="V12" s="161"/>
    </row>
    <row r="13" spans="3:22">
      <c r="C13" s="358">
        <v>12</v>
      </c>
      <c r="D13" s="301" t="s">
        <v>165</v>
      </c>
      <c r="E13" s="139" t="s">
        <v>166</v>
      </c>
      <c r="F13" s="66">
        <v>2</v>
      </c>
      <c r="G13" s="66" t="s">
        <v>770</v>
      </c>
      <c r="H13" s="74" t="s">
        <v>772</v>
      </c>
      <c r="I13" s="299">
        <f t="shared" si="0"/>
        <v>1</v>
      </c>
      <c r="K13" s="66">
        <f t="shared" si="1"/>
        <v>0</v>
      </c>
      <c r="L13" s="66">
        <f t="shared" si="2"/>
        <v>0</v>
      </c>
      <c r="M13" s="66"/>
      <c r="N13" s="307">
        <f t="shared" si="3"/>
        <v>0</v>
      </c>
      <c r="P13" s="284" t="s">
        <v>165</v>
      </c>
      <c r="Q13" s="139" t="s">
        <v>1660</v>
      </c>
      <c r="R13" s="66">
        <v>2</v>
      </c>
      <c r="S13" s="66" t="s">
        <v>770</v>
      </c>
      <c r="T13" s="74" t="s">
        <v>772</v>
      </c>
      <c r="U13" s="299">
        <f t="shared" si="4"/>
        <v>1</v>
      </c>
      <c r="V13" s="161"/>
    </row>
    <row r="14" spans="3:22">
      <c r="C14" s="358">
        <v>13</v>
      </c>
      <c r="D14" s="301" t="s">
        <v>527</v>
      </c>
      <c r="E14" s="139" t="s">
        <v>528</v>
      </c>
      <c r="F14" s="66">
        <v>1</v>
      </c>
      <c r="G14" s="66" t="s">
        <v>773</v>
      </c>
      <c r="H14" s="74" t="s">
        <v>771</v>
      </c>
      <c r="I14" s="299">
        <f t="shared" si="0"/>
        <v>0</v>
      </c>
      <c r="K14" s="66">
        <f t="shared" si="1"/>
        <v>0</v>
      </c>
      <c r="L14" s="66">
        <f t="shared" si="2"/>
        <v>0</v>
      </c>
      <c r="M14" s="66"/>
      <c r="N14" s="307">
        <f t="shared" si="3"/>
        <v>0</v>
      </c>
      <c r="P14" s="284" t="s">
        <v>527</v>
      </c>
      <c r="Q14" s="139" t="s">
        <v>1845</v>
      </c>
      <c r="R14" s="66">
        <v>1</v>
      </c>
      <c r="S14" s="66" t="s">
        <v>773</v>
      </c>
      <c r="T14" s="74" t="s">
        <v>771</v>
      </c>
      <c r="U14" s="299">
        <f t="shared" si="4"/>
        <v>0</v>
      </c>
      <c r="V14" s="161"/>
    </row>
    <row r="15" spans="3:22">
      <c r="C15" s="358">
        <v>14</v>
      </c>
      <c r="D15" s="301" t="s">
        <v>398</v>
      </c>
      <c r="E15" s="139" t="s">
        <v>399</v>
      </c>
      <c r="F15" s="66">
        <v>2</v>
      </c>
      <c r="G15" s="66" t="s">
        <v>770</v>
      </c>
      <c r="H15" s="74" t="s">
        <v>771</v>
      </c>
      <c r="I15" s="299">
        <f t="shared" si="0"/>
        <v>1</v>
      </c>
      <c r="K15" s="66">
        <f t="shared" si="1"/>
        <v>0</v>
      </c>
      <c r="L15" s="66">
        <f t="shared" si="2"/>
        <v>0</v>
      </c>
      <c r="M15" s="66"/>
      <c r="N15" s="307">
        <f t="shared" si="3"/>
        <v>0</v>
      </c>
      <c r="P15" s="284" t="s">
        <v>398</v>
      </c>
      <c r="Q15" s="139" t="s">
        <v>1782</v>
      </c>
      <c r="R15" s="66">
        <v>2</v>
      </c>
      <c r="S15" s="66" t="s">
        <v>770</v>
      </c>
      <c r="T15" s="74" t="s">
        <v>771</v>
      </c>
      <c r="U15" s="299">
        <f t="shared" si="4"/>
        <v>1</v>
      </c>
      <c r="V15" s="161"/>
    </row>
    <row r="16" spans="3:22">
      <c r="C16" s="358">
        <v>15</v>
      </c>
      <c r="D16" s="301" t="s">
        <v>675</v>
      </c>
      <c r="E16" s="139" t="s">
        <v>676</v>
      </c>
      <c r="F16" s="66">
        <v>1</v>
      </c>
      <c r="G16" s="66" t="s">
        <v>773</v>
      </c>
      <c r="H16" s="74" t="s">
        <v>771</v>
      </c>
      <c r="I16" s="299">
        <f t="shared" si="0"/>
        <v>0</v>
      </c>
      <c r="K16" s="66">
        <f t="shared" si="1"/>
        <v>0</v>
      </c>
      <c r="L16" s="66">
        <f t="shared" si="2"/>
        <v>0</v>
      </c>
      <c r="M16" s="66"/>
      <c r="N16" s="307">
        <f t="shared" si="3"/>
        <v>0</v>
      </c>
      <c r="P16" s="284" t="s">
        <v>675</v>
      </c>
      <c r="Q16" s="139" t="s">
        <v>1923</v>
      </c>
      <c r="R16" s="66">
        <v>1</v>
      </c>
      <c r="S16" s="66" t="s">
        <v>773</v>
      </c>
      <c r="T16" s="74" t="s">
        <v>771</v>
      </c>
      <c r="U16" s="299">
        <f t="shared" si="4"/>
        <v>0</v>
      </c>
      <c r="V16" s="161"/>
    </row>
    <row r="17" spans="3:22">
      <c r="C17" s="358">
        <v>16</v>
      </c>
      <c r="D17" s="301" t="s">
        <v>428</v>
      </c>
      <c r="E17" s="139" t="s">
        <v>429</v>
      </c>
      <c r="F17" s="66">
        <v>2</v>
      </c>
      <c r="G17" s="66" t="s">
        <v>770</v>
      </c>
      <c r="H17" s="74" t="s">
        <v>771</v>
      </c>
      <c r="I17" s="299">
        <f t="shared" si="0"/>
        <v>1</v>
      </c>
      <c r="K17" s="66">
        <f t="shared" si="1"/>
        <v>0</v>
      </c>
      <c r="L17" s="66">
        <f t="shared" si="2"/>
        <v>0</v>
      </c>
      <c r="M17" s="66"/>
      <c r="N17" s="307">
        <f t="shared" si="3"/>
        <v>0</v>
      </c>
      <c r="P17" s="284" t="s">
        <v>428</v>
      </c>
      <c r="Q17" s="139" t="s">
        <v>1797</v>
      </c>
      <c r="R17" s="66">
        <v>2</v>
      </c>
      <c r="S17" s="66" t="s">
        <v>770</v>
      </c>
      <c r="T17" s="74" t="s">
        <v>771</v>
      </c>
      <c r="U17" s="299">
        <f t="shared" si="4"/>
        <v>1</v>
      </c>
      <c r="V17" s="161"/>
    </row>
    <row r="18" spans="3:22">
      <c r="C18" s="358">
        <v>17</v>
      </c>
      <c r="D18" s="301" t="s">
        <v>374</v>
      </c>
      <c r="E18" s="139" t="s">
        <v>375</v>
      </c>
      <c r="F18" s="66">
        <v>1</v>
      </c>
      <c r="G18" s="66" t="s">
        <v>773</v>
      </c>
      <c r="H18" s="74" t="s">
        <v>771</v>
      </c>
      <c r="I18" s="299">
        <f t="shared" si="0"/>
        <v>0</v>
      </c>
      <c r="K18" s="66">
        <f t="shared" si="1"/>
        <v>0</v>
      </c>
      <c r="L18" s="66">
        <f t="shared" si="2"/>
        <v>0</v>
      </c>
      <c r="M18" s="66"/>
      <c r="N18" s="307">
        <f t="shared" si="3"/>
        <v>0</v>
      </c>
      <c r="P18" s="284" t="s">
        <v>374</v>
      </c>
      <c r="Q18" s="139" t="s">
        <v>1769</v>
      </c>
      <c r="R18" s="66">
        <v>1</v>
      </c>
      <c r="S18" s="66" t="s">
        <v>773</v>
      </c>
      <c r="T18" s="74" t="s">
        <v>771</v>
      </c>
      <c r="U18" s="299">
        <f t="shared" si="4"/>
        <v>0</v>
      </c>
      <c r="V18" s="161"/>
    </row>
    <row r="19" spans="3:22">
      <c r="C19" s="358">
        <v>18</v>
      </c>
      <c r="D19" s="301" t="s">
        <v>478</v>
      </c>
      <c r="E19" s="139" t="s">
        <v>479</v>
      </c>
      <c r="F19" s="66">
        <v>2</v>
      </c>
      <c r="G19" s="66" t="s">
        <v>773</v>
      </c>
      <c r="H19" s="74" t="s">
        <v>771</v>
      </c>
      <c r="I19" s="299">
        <f t="shared" si="0"/>
        <v>0</v>
      </c>
      <c r="K19" s="66">
        <f t="shared" si="1"/>
        <v>0</v>
      </c>
      <c r="L19" s="66">
        <f t="shared" si="2"/>
        <v>0</v>
      </c>
      <c r="M19" s="66"/>
      <c r="N19" s="307">
        <f t="shared" si="3"/>
        <v>0</v>
      </c>
      <c r="P19" s="284" t="s">
        <v>478</v>
      </c>
      <c r="Q19" s="139" t="s">
        <v>1821</v>
      </c>
      <c r="R19" s="66">
        <v>2</v>
      </c>
      <c r="S19" s="66" t="s">
        <v>773</v>
      </c>
      <c r="T19" s="74" t="s">
        <v>771</v>
      </c>
      <c r="U19" s="299">
        <f t="shared" si="4"/>
        <v>0</v>
      </c>
      <c r="V19" s="161"/>
    </row>
    <row r="20" spans="3:22">
      <c r="C20" s="358">
        <v>19</v>
      </c>
      <c r="D20" s="301" t="s">
        <v>247</v>
      </c>
      <c r="E20" s="139" t="s">
        <v>248</v>
      </c>
      <c r="F20" s="66">
        <v>2</v>
      </c>
      <c r="G20" s="66" t="s">
        <v>773</v>
      </c>
      <c r="H20" s="74" t="s">
        <v>771</v>
      </c>
      <c r="I20" s="299">
        <f t="shared" si="0"/>
        <v>0</v>
      </c>
      <c r="K20" s="66">
        <f t="shared" si="1"/>
        <v>0</v>
      </c>
      <c r="L20" s="66">
        <f t="shared" si="2"/>
        <v>0</v>
      </c>
      <c r="M20" s="66"/>
      <c r="N20" s="307">
        <f t="shared" si="3"/>
        <v>0</v>
      </c>
      <c r="P20" s="284" t="s">
        <v>247</v>
      </c>
      <c r="Q20" s="139" t="s">
        <v>1703</v>
      </c>
      <c r="R20" s="66">
        <v>2</v>
      </c>
      <c r="S20" s="66" t="s">
        <v>773</v>
      </c>
      <c r="T20" s="74" t="s">
        <v>771</v>
      </c>
      <c r="U20" s="299">
        <f t="shared" si="4"/>
        <v>0</v>
      </c>
      <c r="V20" s="161"/>
    </row>
    <row r="21" spans="3:22">
      <c r="C21" s="358">
        <v>20</v>
      </c>
      <c r="D21" s="301" t="s">
        <v>330</v>
      </c>
      <c r="E21" s="139" t="s">
        <v>331</v>
      </c>
      <c r="F21" s="66">
        <v>2</v>
      </c>
      <c r="G21" s="66" t="s">
        <v>770</v>
      </c>
      <c r="H21" s="74" t="s">
        <v>772</v>
      </c>
      <c r="I21" s="299">
        <f t="shared" si="0"/>
        <v>1</v>
      </c>
      <c r="K21" s="66">
        <f t="shared" si="1"/>
        <v>0</v>
      </c>
      <c r="L21" s="66">
        <f t="shared" si="2"/>
        <v>0</v>
      </c>
      <c r="M21" s="66"/>
      <c r="N21" s="307">
        <f t="shared" si="3"/>
        <v>0</v>
      </c>
      <c r="P21" s="284" t="s">
        <v>330</v>
      </c>
      <c r="Q21" s="139" t="s">
        <v>1745</v>
      </c>
      <c r="R21" s="66">
        <v>2</v>
      </c>
      <c r="S21" s="66" t="s">
        <v>770</v>
      </c>
      <c r="T21" s="74" t="s">
        <v>772</v>
      </c>
      <c r="U21" s="299">
        <f t="shared" si="4"/>
        <v>1</v>
      </c>
      <c r="V21" s="161"/>
    </row>
    <row r="22" spans="3:22">
      <c r="C22" s="358">
        <v>21</v>
      </c>
      <c r="D22" s="301" t="s">
        <v>545</v>
      </c>
      <c r="E22" s="139" t="s">
        <v>1136</v>
      </c>
      <c r="F22" s="66">
        <v>1</v>
      </c>
      <c r="G22" s="66" t="s">
        <v>773</v>
      </c>
      <c r="H22" s="74" t="s">
        <v>771</v>
      </c>
      <c r="I22" s="299">
        <f t="shared" si="0"/>
        <v>0</v>
      </c>
      <c r="K22" s="66">
        <f t="shared" si="1"/>
        <v>0</v>
      </c>
      <c r="L22" s="66">
        <f t="shared" si="2"/>
        <v>0</v>
      </c>
      <c r="M22" s="66"/>
      <c r="N22" s="307">
        <f t="shared" si="3"/>
        <v>0</v>
      </c>
      <c r="P22" s="284" t="s">
        <v>545</v>
      </c>
      <c r="Q22" s="139" t="s">
        <v>1854</v>
      </c>
      <c r="R22" s="66">
        <v>1</v>
      </c>
      <c r="S22" s="66" t="s">
        <v>773</v>
      </c>
      <c r="T22" s="74" t="s">
        <v>771</v>
      </c>
      <c r="U22" s="299">
        <f t="shared" si="4"/>
        <v>0</v>
      </c>
      <c r="V22" s="161"/>
    </row>
    <row r="23" spans="3:22">
      <c r="C23" s="358">
        <v>22</v>
      </c>
      <c r="D23" s="301" t="s">
        <v>223</v>
      </c>
      <c r="E23" s="139" t="s">
        <v>224</v>
      </c>
      <c r="F23" s="66">
        <v>1</v>
      </c>
      <c r="G23" s="66" t="s">
        <v>773</v>
      </c>
      <c r="H23" s="74" t="s">
        <v>771</v>
      </c>
      <c r="I23" s="299">
        <f t="shared" si="0"/>
        <v>0</v>
      </c>
      <c r="K23" s="66">
        <f t="shared" si="1"/>
        <v>0</v>
      </c>
      <c r="L23" s="66">
        <f t="shared" si="2"/>
        <v>0</v>
      </c>
      <c r="M23" s="66"/>
      <c r="N23" s="307">
        <f t="shared" si="3"/>
        <v>0</v>
      </c>
      <c r="P23" s="284" t="s">
        <v>223</v>
      </c>
      <c r="Q23" s="139" t="s">
        <v>1691</v>
      </c>
      <c r="R23" s="66">
        <v>1</v>
      </c>
      <c r="S23" s="66" t="s">
        <v>773</v>
      </c>
      <c r="T23" s="74" t="s">
        <v>771</v>
      </c>
      <c r="U23" s="299">
        <f t="shared" si="4"/>
        <v>0</v>
      </c>
      <c r="V23" s="161"/>
    </row>
    <row r="24" spans="3:22">
      <c r="C24" s="358">
        <v>23</v>
      </c>
      <c r="D24" s="301" t="s">
        <v>209</v>
      </c>
      <c r="E24" s="139" t="s">
        <v>210</v>
      </c>
      <c r="F24" s="66">
        <v>2</v>
      </c>
      <c r="G24" s="66" t="s">
        <v>773</v>
      </c>
      <c r="H24" s="74" t="s">
        <v>771</v>
      </c>
      <c r="I24" s="299">
        <f t="shared" si="0"/>
        <v>0</v>
      </c>
      <c r="K24" s="66">
        <f t="shared" si="1"/>
        <v>0</v>
      </c>
      <c r="L24" s="66">
        <f t="shared" si="2"/>
        <v>0</v>
      </c>
      <c r="M24" s="66"/>
      <c r="N24" s="307">
        <f t="shared" si="3"/>
        <v>0</v>
      </c>
      <c r="P24" s="284" t="s">
        <v>209</v>
      </c>
      <c r="Q24" s="139" t="s">
        <v>1682</v>
      </c>
      <c r="R24" s="66">
        <v>2</v>
      </c>
      <c r="S24" s="66" t="s">
        <v>773</v>
      </c>
      <c r="T24" s="74" t="s">
        <v>771</v>
      </c>
      <c r="U24" s="299">
        <f t="shared" si="4"/>
        <v>0</v>
      </c>
      <c r="V24" s="161"/>
    </row>
    <row r="25" spans="3:22">
      <c r="C25" s="358">
        <v>24</v>
      </c>
      <c r="D25" s="301" t="s">
        <v>511</v>
      </c>
      <c r="E25" s="139" t="s">
        <v>512</v>
      </c>
      <c r="F25" s="66">
        <v>2</v>
      </c>
      <c r="G25" s="66" t="s">
        <v>770</v>
      </c>
      <c r="H25" s="74" t="s">
        <v>772</v>
      </c>
      <c r="I25" s="299">
        <f t="shared" si="0"/>
        <v>1</v>
      </c>
      <c r="K25" s="66">
        <f t="shared" si="1"/>
        <v>0</v>
      </c>
      <c r="L25" s="66">
        <f t="shared" si="2"/>
        <v>0</v>
      </c>
      <c r="M25" s="66"/>
      <c r="N25" s="307">
        <f t="shared" si="3"/>
        <v>0</v>
      </c>
      <c r="P25" s="284" t="s">
        <v>511</v>
      </c>
      <c r="Q25" s="139" t="s">
        <v>1838</v>
      </c>
      <c r="R25" s="66">
        <v>2</v>
      </c>
      <c r="S25" s="66" t="s">
        <v>770</v>
      </c>
      <c r="T25" s="74" t="s">
        <v>772</v>
      </c>
      <c r="U25" s="299">
        <f t="shared" si="4"/>
        <v>1</v>
      </c>
      <c r="V25" s="161"/>
    </row>
    <row r="26" spans="3:22">
      <c r="C26" s="358">
        <v>25</v>
      </c>
      <c r="D26" s="301" t="s">
        <v>199</v>
      </c>
      <c r="E26" s="139" t="s">
        <v>200</v>
      </c>
      <c r="F26" s="66">
        <v>2</v>
      </c>
      <c r="G26" s="66" t="s">
        <v>773</v>
      </c>
      <c r="H26" s="74" t="s">
        <v>771</v>
      </c>
      <c r="I26" s="299">
        <f t="shared" si="0"/>
        <v>0</v>
      </c>
      <c r="K26" s="66">
        <f t="shared" si="1"/>
        <v>0</v>
      </c>
      <c r="L26" s="66">
        <f t="shared" si="2"/>
        <v>0</v>
      </c>
      <c r="M26" s="66"/>
      <c r="N26" s="307">
        <f t="shared" si="3"/>
        <v>0</v>
      </c>
      <c r="P26" s="284" t="s">
        <v>199</v>
      </c>
      <c r="Q26" s="139" t="s">
        <v>1677</v>
      </c>
      <c r="R26" s="66">
        <v>2</v>
      </c>
      <c r="S26" s="66" t="s">
        <v>773</v>
      </c>
      <c r="T26" s="74" t="s">
        <v>771</v>
      </c>
      <c r="U26" s="299">
        <f t="shared" si="4"/>
        <v>0</v>
      </c>
      <c r="V26" s="161"/>
    </row>
    <row r="27" spans="3:22">
      <c r="C27" s="358">
        <v>26</v>
      </c>
      <c r="D27" s="301" t="s">
        <v>197</v>
      </c>
      <c r="E27" s="139" t="s">
        <v>198</v>
      </c>
      <c r="F27" s="66">
        <v>2</v>
      </c>
      <c r="G27" s="66" t="s">
        <v>773</v>
      </c>
      <c r="H27" s="74" t="s">
        <v>771</v>
      </c>
      <c r="I27" s="299">
        <f t="shared" si="0"/>
        <v>0</v>
      </c>
      <c r="K27" s="66">
        <f t="shared" si="1"/>
        <v>0</v>
      </c>
      <c r="L27" s="66">
        <f t="shared" si="2"/>
        <v>0</v>
      </c>
      <c r="M27" s="66"/>
      <c r="N27" s="307">
        <f t="shared" si="3"/>
        <v>0</v>
      </c>
      <c r="P27" s="284" t="s">
        <v>197</v>
      </c>
      <c r="Q27" s="139" t="s">
        <v>2495</v>
      </c>
      <c r="R27" s="66">
        <v>2</v>
      </c>
      <c r="S27" s="66" t="s">
        <v>773</v>
      </c>
      <c r="T27" s="74" t="s">
        <v>771</v>
      </c>
      <c r="U27" s="299">
        <f t="shared" si="4"/>
        <v>0</v>
      </c>
      <c r="V27" s="161"/>
    </row>
    <row r="28" spans="3:22">
      <c r="C28" s="358">
        <v>27</v>
      </c>
      <c r="D28" s="301" t="s">
        <v>237</v>
      </c>
      <c r="E28" s="139" t="s">
        <v>238</v>
      </c>
      <c r="F28" s="66">
        <v>2</v>
      </c>
      <c r="G28" s="66" t="s">
        <v>773</v>
      </c>
      <c r="H28" s="74" t="s">
        <v>771</v>
      </c>
      <c r="I28" s="299">
        <f t="shared" si="0"/>
        <v>0</v>
      </c>
      <c r="K28" s="66">
        <f t="shared" si="1"/>
        <v>0</v>
      </c>
      <c r="L28" s="66">
        <f t="shared" si="2"/>
        <v>0</v>
      </c>
      <c r="M28" s="66"/>
      <c r="N28" s="307">
        <f t="shared" si="3"/>
        <v>0</v>
      </c>
      <c r="P28" s="284" t="s">
        <v>237</v>
      </c>
      <c r="Q28" s="139" t="s">
        <v>1698</v>
      </c>
      <c r="R28" s="66">
        <v>2</v>
      </c>
      <c r="S28" s="66" t="s">
        <v>773</v>
      </c>
      <c r="T28" s="74" t="s">
        <v>771</v>
      </c>
      <c r="U28" s="299">
        <f t="shared" si="4"/>
        <v>0</v>
      </c>
      <c r="V28" s="161"/>
    </row>
    <row r="29" spans="3:22">
      <c r="C29" s="358">
        <v>28</v>
      </c>
      <c r="D29" s="302" t="s">
        <v>1575</v>
      </c>
      <c r="E29" s="73" t="s">
        <v>1579</v>
      </c>
      <c r="F29" s="66">
        <v>2</v>
      </c>
      <c r="G29" s="66" t="s">
        <v>773</v>
      </c>
      <c r="H29" s="74" t="s">
        <v>771</v>
      </c>
      <c r="I29" s="299">
        <f t="shared" si="0"/>
        <v>0</v>
      </c>
      <c r="K29" s="66">
        <f t="shared" si="1"/>
        <v>0</v>
      </c>
      <c r="L29" s="66">
        <f t="shared" si="2"/>
        <v>0</v>
      </c>
      <c r="M29" s="66"/>
      <c r="N29" s="307">
        <f t="shared" si="3"/>
        <v>0</v>
      </c>
      <c r="P29" s="172" t="s">
        <v>1575</v>
      </c>
      <c r="Q29" s="73" t="s">
        <v>1964</v>
      </c>
      <c r="R29" s="66">
        <v>2</v>
      </c>
      <c r="S29" s="66" t="s">
        <v>773</v>
      </c>
      <c r="T29" s="74" t="s">
        <v>771</v>
      </c>
      <c r="U29" s="299">
        <f t="shared" si="4"/>
        <v>0</v>
      </c>
      <c r="V29" s="161"/>
    </row>
    <row r="30" spans="3:22">
      <c r="C30" s="358">
        <v>29</v>
      </c>
      <c r="D30" s="301" t="s">
        <v>400</v>
      </c>
      <c r="E30" s="139" t="s">
        <v>401</v>
      </c>
      <c r="F30" s="66">
        <v>2</v>
      </c>
      <c r="G30" s="66" t="s">
        <v>770</v>
      </c>
      <c r="H30" s="74" t="s">
        <v>772</v>
      </c>
      <c r="I30" s="299">
        <f t="shared" si="0"/>
        <v>1</v>
      </c>
      <c r="K30" s="66">
        <f t="shared" si="1"/>
        <v>0</v>
      </c>
      <c r="L30" s="66">
        <f t="shared" si="2"/>
        <v>0</v>
      </c>
      <c r="M30" s="66"/>
      <c r="N30" s="307">
        <f t="shared" si="3"/>
        <v>0</v>
      </c>
      <c r="P30" s="284" t="s">
        <v>400</v>
      </c>
      <c r="Q30" s="139" t="s">
        <v>1783</v>
      </c>
      <c r="R30" s="66">
        <v>2</v>
      </c>
      <c r="S30" s="66" t="s">
        <v>770</v>
      </c>
      <c r="T30" s="74" t="s">
        <v>772</v>
      </c>
      <c r="U30" s="299">
        <f t="shared" si="4"/>
        <v>1</v>
      </c>
      <c r="V30" s="161"/>
    </row>
    <row r="31" spans="3:22">
      <c r="C31" s="358">
        <v>30</v>
      </c>
      <c r="D31" s="301" t="s">
        <v>380</v>
      </c>
      <c r="E31" s="139" t="s">
        <v>381</v>
      </c>
      <c r="F31" s="66">
        <v>1</v>
      </c>
      <c r="G31" s="66" t="s">
        <v>773</v>
      </c>
      <c r="H31" s="74" t="s">
        <v>771</v>
      </c>
      <c r="I31" s="299">
        <f t="shared" si="0"/>
        <v>0</v>
      </c>
      <c r="K31" s="66">
        <f t="shared" si="1"/>
        <v>0</v>
      </c>
      <c r="L31" s="66">
        <f t="shared" si="2"/>
        <v>0</v>
      </c>
      <c r="M31" s="66"/>
      <c r="N31" s="307">
        <f t="shared" si="3"/>
        <v>0</v>
      </c>
      <c r="P31" s="284" t="s">
        <v>380</v>
      </c>
      <c r="Q31" s="139" t="s">
        <v>1772</v>
      </c>
      <c r="R31" s="66">
        <v>1</v>
      </c>
      <c r="S31" s="66" t="s">
        <v>773</v>
      </c>
      <c r="T31" s="74" t="s">
        <v>771</v>
      </c>
      <c r="U31" s="299">
        <f t="shared" si="4"/>
        <v>0</v>
      </c>
      <c r="V31" s="161"/>
    </row>
    <row r="32" spans="3:22">
      <c r="C32" s="358">
        <v>31</v>
      </c>
      <c r="D32" s="301" t="s">
        <v>604</v>
      </c>
      <c r="E32" s="139" t="s">
        <v>605</v>
      </c>
      <c r="F32" s="66">
        <v>1</v>
      </c>
      <c r="G32" s="66" t="s">
        <v>773</v>
      </c>
      <c r="H32" s="74" t="s">
        <v>771</v>
      </c>
      <c r="I32" s="299">
        <f t="shared" si="0"/>
        <v>0</v>
      </c>
      <c r="K32" s="66">
        <f t="shared" si="1"/>
        <v>0</v>
      </c>
      <c r="L32" s="66">
        <f t="shared" si="2"/>
        <v>0</v>
      </c>
      <c r="M32" s="66"/>
      <c r="N32" s="307">
        <f t="shared" si="3"/>
        <v>0</v>
      </c>
      <c r="P32" s="284" t="s">
        <v>604</v>
      </c>
      <c r="Q32" s="139" t="s">
        <v>1884</v>
      </c>
      <c r="R32" s="66">
        <v>1</v>
      </c>
      <c r="S32" s="66" t="s">
        <v>773</v>
      </c>
      <c r="T32" s="74" t="s">
        <v>771</v>
      </c>
      <c r="U32" s="299">
        <f t="shared" si="4"/>
        <v>0</v>
      </c>
      <c r="V32" s="161"/>
    </row>
    <row r="33" spans="3:22">
      <c r="C33" s="358">
        <v>32</v>
      </c>
      <c r="D33" s="301" t="s">
        <v>440</v>
      </c>
      <c r="E33" s="139" t="s">
        <v>441</v>
      </c>
      <c r="F33" s="66">
        <v>1</v>
      </c>
      <c r="G33" s="66" t="s">
        <v>773</v>
      </c>
      <c r="H33" s="74" t="s">
        <v>771</v>
      </c>
      <c r="I33" s="299">
        <f t="shared" si="0"/>
        <v>0</v>
      </c>
      <c r="K33" s="66">
        <f t="shared" si="1"/>
        <v>0</v>
      </c>
      <c r="L33" s="66">
        <f t="shared" si="2"/>
        <v>0</v>
      </c>
      <c r="M33" s="66"/>
      <c r="N33" s="307">
        <f t="shared" si="3"/>
        <v>0</v>
      </c>
      <c r="P33" s="284" t="s">
        <v>440</v>
      </c>
      <c r="Q33" s="139" t="s">
        <v>1803</v>
      </c>
      <c r="R33" s="66">
        <v>1</v>
      </c>
      <c r="S33" s="66" t="s">
        <v>773</v>
      </c>
      <c r="T33" s="74" t="s">
        <v>771</v>
      </c>
      <c r="U33" s="299">
        <f t="shared" si="4"/>
        <v>0</v>
      </c>
      <c r="V33" s="161"/>
    </row>
    <row r="34" spans="3:22">
      <c r="C34" s="358">
        <v>33</v>
      </c>
      <c r="D34" s="301" t="s">
        <v>436</v>
      </c>
      <c r="E34" s="139" t="s">
        <v>437</v>
      </c>
      <c r="F34" s="66">
        <v>1</v>
      </c>
      <c r="G34" s="66" t="s">
        <v>773</v>
      </c>
      <c r="H34" s="74" t="s">
        <v>771</v>
      </c>
      <c r="I34" s="299">
        <f t="shared" si="0"/>
        <v>0</v>
      </c>
      <c r="K34" s="66">
        <f t="shared" si="1"/>
        <v>0</v>
      </c>
      <c r="L34" s="66">
        <f t="shared" si="2"/>
        <v>0</v>
      </c>
      <c r="M34" s="66"/>
      <c r="N34" s="307">
        <f t="shared" si="3"/>
        <v>0</v>
      </c>
      <c r="P34" s="284" t="s">
        <v>436</v>
      </c>
      <c r="Q34" s="139" t="s">
        <v>1801</v>
      </c>
      <c r="R34" s="66">
        <v>1</v>
      </c>
      <c r="S34" s="66" t="s">
        <v>773</v>
      </c>
      <c r="T34" s="74" t="s">
        <v>771</v>
      </c>
      <c r="U34" s="299">
        <f t="shared" si="4"/>
        <v>0</v>
      </c>
      <c r="V34" s="161"/>
    </row>
    <row r="35" spans="3:22">
      <c r="C35" s="358">
        <v>34</v>
      </c>
      <c r="D35" s="301" t="s">
        <v>608</v>
      </c>
      <c r="E35" s="139" t="s">
        <v>609</v>
      </c>
      <c r="F35" s="66">
        <v>1</v>
      </c>
      <c r="G35" s="66" t="s">
        <v>773</v>
      </c>
      <c r="H35" s="74" t="s">
        <v>771</v>
      </c>
      <c r="I35" s="299">
        <f t="shared" si="0"/>
        <v>0</v>
      </c>
      <c r="K35" s="66">
        <f t="shared" si="1"/>
        <v>0</v>
      </c>
      <c r="L35" s="66">
        <f t="shared" si="2"/>
        <v>0</v>
      </c>
      <c r="M35" s="66"/>
      <c r="N35" s="307">
        <f t="shared" si="3"/>
        <v>0</v>
      </c>
      <c r="P35" s="284" t="s">
        <v>608</v>
      </c>
      <c r="Q35" s="139" t="s">
        <v>1886</v>
      </c>
      <c r="R35" s="66">
        <v>1</v>
      </c>
      <c r="S35" s="66" t="s">
        <v>773</v>
      </c>
      <c r="T35" s="74" t="s">
        <v>771</v>
      </c>
      <c r="U35" s="299">
        <f t="shared" si="4"/>
        <v>0</v>
      </c>
      <c r="V35" s="161"/>
    </row>
    <row r="36" spans="3:22">
      <c r="C36" s="358">
        <v>35</v>
      </c>
      <c r="D36" s="301" t="s">
        <v>620</v>
      </c>
      <c r="E36" s="139" t="s">
        <v>621</v>
      </c>
      <c r="F36" s="66">
        <v>2</v>
      </c>
      <c r="G36" s="66" t="s">
        <v>773</v>
      </c>
      <c r="H36" s="74" t="s">
        <v>771</v>
      </c>
      <c r="I36" s="299">
        <f t="shared" si="0"/>
        <v>0</v>
      </c>
      <c r="K36" s="66">
        <f t="shared" si="1"/>
        <v>0</v>
      </c>
      <c r="L36" s="66">
        <f t="shared" si="2"/>
        <v>0</v>
      </c>
      <c r="M36" s="66"/>
      <c r="N36" s="307">
        <f t="shared" si="3"/>
        <v>0</v>
      </c>
      <c r="P36" s="284" t="s">
        <v>620</v>
      </c>
      <c r="Q36" s="139" t="s">
        <v>1893</v>
      </c>
      <c r="R36" s="66">
        <v>2</v>
      </c>
      <c r="S36" s="66" t="s">
        <v>773</v>
      </c>
      <c r="T36" s="74" t="s">
        <v>771</v>
      </c>
      <c r="U36" s="299">
        <f t="shared" si="4"/>
        <v>0</v>
      </c>
      <c r="V36" s="161"/>
    </row>
    <row r="37" spans="3:22">
      <c r="C37" s="358">
        <v>36</v>
      </c>
      <c r="D37" s="303" t="s">
        <v>1508</v>
      </c>
      <c r="E37" s="286" t="s">
        <v>1548</v>
      </c>
      <c r="F37" s="66">
        <v>2</v>
      </c>
      <c r="G37" s="66" t="s">
        <v>773</v>
      </c>
      <c r="H37" s="74" t="s">
        <v>771</v>
      </c>
      <c r="I37" s="299">
        <f t="shared" si="0"/>
        <v>0</v>
      </c>
      <c r="K37" s="66">
        <f t="shared" si="1"/>
        <v>0</v>
      </c>
      <c r="L37" s="66">
        <f t="shared" si="2"/>
        <v>0</v>
      </c>
      <c r="M37" s="66"/>
      <c r="N37" s="307">
        <f t="shared" si="3"/>
        <v>0</v>
      </c>
      <c r="P37" s="285" t="s">
        <v>1508</v>
      </c>
      <c r="Q37" s="286" t="s">
        <v>1849</v>
      </c>
      <c r="R37" s="66">
        <v>2</v>
      </c>
      <c r="S37" s="66" t="s">
        <v>773</v>
      </c>
      <c r="T37" s="74" t="s">
        <v>771</v>
      </c>
      <c r="U37" s="299">
        <f t="shared" si="4"/>
        <v>0</v>
      </c>
      <c r="V37" s="161"/>
    </row>
    <row r="38" spans="3:22">
      <c r="C38" s="358">
        <v>37</v>
      </c>
      <c r="D38" s="301" t="s">
        <v>334</v>
      </c>
      <c r="E38" s="139" t="s">
        <v>335</v>
      </c>
      <c r="F38" s="66">
        <v>2</v>
      </c>
      <c r="G38" s="66" t="s">
        <v>773</v>
      </c>
      <c r="H38" s="74" t="s">
        <v>771</v>
      </c>
      <c r="I38" s="299">
        <f t="shared" si="0"/>
        <v>0</v>
      </c>
      <c r="K38" s="66">
        <f t="shared" si="1"/>
        <v>0</v>
      </c>
      <c r="L38" s="66">
        <f t="shared" si="2"/>
        <v>0</v>
      </c>
      <c r="M38" s="66"/>
      <c r="N38" s="307">
        <f t="shared" si="3"/>
        <v>0</v>
      </c>
      <c r="P38" s="284" t="s">
        <v>334</v>
      </c>
      <c r="Q38" s="139" t="s">
        <v>1747</v>
      </c>
      <c r="R38" s="66">
        <v>2</v>
      </c>
      <c r="S38" s="66" t="s">
        <v>773</v>
      </c>
      <c r="T38" s="74" t="s">
        <v>771</v>
      </c>
      <c r="U38" s="299">
        <f t="shared" si="4"/>
        <v>0</v>
      </c>
      <c r="V38" s="161"/>
    </row>
    <row r="39" spans="3:22">
      <c r="C39" s="358">
        <v>38</v>
      </c>
      <c r="D39" s="301" t="s">
        <v>173</v>
      </c>
      <c r="E39" s="139" t="s">
        <v>174</v>
      </c>
      <c r="F39" s="66">
        <v>1</v>
      </c>
      <c r="G39" s="66" t="s">
        <v>773</v>
      </c>
      <c r="H39" s="74" t="s">
        <v>771</v>
      </c>
      <c r="I39" s="299">
        <f t="shared" si="0"/>
        <v>0</v>
      </c>
      <c r="K39" s="66">
        <f t="shared" si="1"/>
        <v>0</v>
      </c>
      <c r="L39" s="66">
        <f t="shared" si="2"/>
        <v>0</v>
      </c>
      <c r="M39" s="66"/>
      <c r="N39" s="307">
        <f t="shared" si="3"/>
        <v>0</v>
      </c>
      <c r="P39" s="284" t="s">
        <v>173</v>
      </c>
      <c r="Q39" s="139" t="s">
        <v>1664</v>
      </c>
      <c r="R39" s="66">
        <v>1</v>
      </c>
      <c r="S39" s="66" t="s">
        <v>773</v>
      </c>
      <c r="T39" s="74" t="s">
        <v>771</v>
      </c>
      <c r="U39" s="299">
        <f t="shared" si="4"/>
        <v>0</v>
      </c>
      <c r="V39" s="161"/>
    </row>
    <row r="40" spans="3:22">
      <c r="C40" s="358">
        <v>39</v>
      </c>
      <c r="D40" s="301" t="s">
        <v>394</v>
      </c>
      <c r="E40" s="139" t="s">
        <v>395</v>
      </c>
      <c r="F40" s="66">
        <v>2</v>
      </c>
      <c r="G40" s="66" t="s">
        <v>773</v>
      </c>
      <c r="H40" s="74" t="s">
        <v>771</v>
      </c>
      <c r="I40" s="299">
        <f t="shared" si="0"/>
        <v>0</v>
      </c>
      <c r="K40" s="66">
        <f t="shared" si="1"/>
        <v>0</v>
      </c>
      <c r="L40" s="66">
        <f t="shared" si="2"/>
        <v>0</v>
      </c>
      <c r="M40" s="66"/>
      <c r="N40" s="307">
        <f t="shared" si="3"/>
        <v>0</v>
      </c>
      <c r="P40" s="284" t="s">
        <v>394</v>
      </c>
      <c r="Q40" s="139" t="s">
        <v>1780</v>
      </c>
      <c r="R40" s="66">
        <v>2</v>
      </c>
      <c r="S40" s="66" t="s">
        <v>773</v>
      </c>
      <c r="T40" s="74" t="s">
        <v>771</v>
      </c>
      <c r="U40" s="299">
        <f t="shared" si="4"/>
        <v>0</v>
      </c>
      <c r="V40" s="161"/>
    </row>
    <row r="41" spans="3:22">
      <c r="C41" s="358">
        <v>40</v>
      </c>
      <c r="D41" s="301" t="s">
        <v>521</v>
      </c>
      <c r="E41" s="139" t="s">
        <v>522</v>
      </c>
      <c r="F41" s="66">
        <v>1</v>
      </c>
      <c r="G41" s="66" t="s">
        <v>773</v>
      </c>
      <c r="H41" s="74" t="s">
        <v>771</v>
      </c>
      <c r="I41" s="299">
        <f t="shared" si="0"/>
        <v>0</v>
      </c>
      <c r="K41" s="66">
        <f t="shared" si="1"/>
        <v>0</v>
      </c>
      <c r="L41" s="66">
        <f t="shared" si="2"/>
        <v>0</v>
      </c>
      <c r="M41" s="66"/>
      <c r="N41" s="307">
        <f t="shared" si="3"/>
        <v>0</v>
      </c>
      <c r="P41" s="284" t="s">
        <v>521</v>
      </c>
      <c r="Q41" s="139" t="s">
        <v>1842</v>
      </c>
      <c r="R41" s="66">
        <v>1</v>
      </c>
      <c r="S41" s="66" t="s">
        <v>773</v>
      </c>
      <c r="T41" s="74" t="s">
        <v>771</v>
      </c>
      <c r="U41" s="299">
        <f t="shared" si="4"/>
        <v>0</v>
      </c>
      <c r="V41" s="161"/>
    </row>
    <row r="42" spans="3:22">
      <c r="C42" s="358">
        <v>41</v>
      </c>
      <c r="D42" s="301" t="s">
        <v>693</v>
      </c>
      <c r="E42" s="139" t="s">
        <v>694</v>
      </c>
      <c r="F42" s="66">
        <v>2</v>
      </c>
      <c r="G42" s="66" t="s">
        <v>770</v>
      </c>
      <c r="H42" s="74" t="s">
        <v>771</v>
      </c>
      <c r="I42" s="299">
        <f t="shared" si="0"/>
        <v>1</v>
      </c>
      <c r="K42" s="66">
        <f t="shared" si="1"/>
        <v>0</v>
      </c>
      <c r="L42" s="66">
        <f t="shared" si="2"/>
        <v>0</v>
      </c>
      <c r="M42" s="66"/>
      <c r="N42" s="307">
        <f t="shared" si="3"/>
        <v>0</v>
      </c>
      <c r="P42" s="284" t="s">
        <v>693</v>
      </c>
      <c r="Q42" s="139" t="s">
        <v>1933</v>
      </c>
      <c r="R42" s="66">
        <v>2</v>
      </c>
      <c r="S42" s="66" t="s">
        <v>770</v>
      </c>
      <c r="T42" s="74" t="s">
        <v>771</v>
      </c>
      <c r="U42" s="299">
        <f t="shared" si="4"/>
        <v>1</v>
      </c>
      <c r="V42" s="161"/>
    </row>
    <row r="43" spans="3:22">
      <c r="C43" s="358">
        <v>42</v>
      </c>
      <c r="D43" s="301" t="s">
        <v>662</v>
      </c>
      <c r="E43" s="139" t="s">
        <v>663</v>
      </c>
      <c r="F43" s="66">
        <v>2</v>
      </c>
      <c r="G43" s="66" t="s">
        <v>773</v>
      </c>
      <c r="H43" s="74" t="s">
        <v>771</v>
      </c>
      <c r="I43" s="299">
        <f t="shared" si="0"/>
        <v>0</v>
      </c>
      <c r="K43" s="66">
        <f t="shared" si="1"/>
        <v>0</v>
      </c>
      <c r="L43" s="66">
        <f t="shared" si="2"/>
        <v>0</v>
      </c>
      <c r="M43" s="66"/>
      <c r="N43" s="307">
        <f t="shared" si="3"/>
        <v>0</v>
      </c>
      <c r="P43" s="284" t="s">
        <v>662</v>
      </c>
      <c r="Q43" s="139" t="s">
        <v>1916</v>
      </c>
      <c r="R43" s="66">
        <v>2</v>
      </c>
      <c r="S43" s="66" t="s">
        <v>773</v>
      </c>
      <c r="T43" s="74" t="s">
        <v>771</v>
      </c>
      <c r="U43" s="299">
        <f t="shared" si="4"/>
        <v>0</v>
      </c>
      <c r="V43" s="161"/>
    </row>
    <row r="44" spans="3:22">
      <c r="C44" s="358">
        <v>43</v>
      </c>
      <c r="D44" s="301" t="s">
        <v>701</v>
      </c>
      <c r="E44" s="139" t="s">
        <v>702</v>
      </c>
      <c r="F44" s="66">
        <v>2</v>
      </c>
      <c r="G44" s="66" t="s">
        <v>770</v>
      </c>
      <c r="H44" s="74" t="s">
        <v>771</v>
      </c>
      <c r="I44" s="299">
        <f t="shared" si="0"/>
        <v>1</v>
      </c>
      <c r="K44" s="66">
        <f t="shared" si="1"/>
        <v>0</v>
      </c>
      <c r="L44" s="66">
        <f t="shared" si="2"/>
        <v>0</v>
      </c>
      <c r="M44" s="66"/>
      <c r="N44" s="307">
        <f t="shared" si="3"/>
        <v>0</v>
      </c>
      <c r="P44" s="284" t="s">
        <v>701</v>
      </c>
      <c r="Q44" s="139" t="s">
        <v>1937</v>
      </c>
      <c r="R44" s="66">
        <v>2</v>
      </c>
      <c r="S44" s="66" t="s">
        <v>770</v>
      </c>
      <c r="T44" s="74" t="s">
        <v>771</v>
      </c>
      <c r="U44" s="299">
        <f t="shared" si="4"/>
        <v>1</v>
      </c>
      <c r="V44" s="161"/>
    </row>
    <row r="45" spans="3:22">
      <c r="C45" s="358">
        <v>44</v>
      </c>
      <c r="D45" s="301" t="s">
        <v>633</v>
      </c>
      <c r="E45" s="139" t="s">
        <v>805</v>
      </c>
      <c r="F45" s="66">
        <v>2</v>
      </c>
      <c r="G45" s="66" t="s">
        <v>770</v>
      </c>
      <c r="H45" s="74" t="s">
        <v>771</v>
      </c>
      <c r="I45" s="299">
        <f t="shared" si="0"/>
        <v>1</v>
      </c>
      <c r="K45" s="66">
        <f t="shared" si="1"/>
        <v>0</v>
      </c>
      <c r="L45" s="66">
        <f t="shared" si="2"/>
        <v>0</v>
      </c>
      <c r="M45" s="66"/>
      <c r="N45" s="307">
        <f t="shared" si="3"/>
        <v>0</v>
      </c>
      <c r="P45" s="284" t="s">
        <v>633</v>
      </c>
      <c r="Q45" s="139" t="s">
        <v>1900</v>
      </c>
      <c r="R45" s="66">
        <v>2</v>
      </c>
      <c r="S45" s="66" t="s">
        <v>770</v>
      </c>
      <c r="T45" s="74" t="s">
        <v>771</v>
      </c>
      <c r="U45" s="299">
        <f t="shared" si="4"/>
        <v>1</v>
      </c>
      <c r="V45" s="161"/>
    </row>
    <row r="46" spans="3:22">
      <c r="C46" s="358">
        <v>45</v>
      </c>
      <c r="D46" s="301" t="s">
        <v>666</v>
      </c>
      <c r="E46" s="139" t="s">
        <v>806</v>
      </c>
      <c r="F46" s="66">
        <v>2</v>
      </c>
      <c r="G46" s="66" t="s">
        <v>773</v>
      </c>
      <c r="H46" s="74" t="s">
        <v>771</v>
      </c>
      <c r="I46" s="299">
        <f t="shared" si="0"/>
        <v>0</v>
      </c>
      <c r="K46" s="66">
        <f t="shared" si="1"/>
        <v>0</v>
      </c>
      <c r="L46" s="66">
        <f t="shared" si="2"/>
        <v>0</v>
      </c>
      <c r="M46" s="66"/>
      <c r="N46" s="307">
        <f t="shared" si="3"/>
        <v>0</v>
      </c>
      <c r="P46" s="284" t="s">
        <v>666</v>
      </c>
      <c r="Q46" s="139" t="s">
        <v>1918</v>
      </c>
      <c r="R46" s="66">
        <v>2</v>
      </c>
      <c r="S46" s="66" t="s">
        <v>773</v>
      </c>
      <c r="T46" s="74" t="s">
        <v>771</v>
      </c>
      <c r="U46" s="299">
        <f t="shared" si="4"/>
        <v>0</v>
      </c>
      <c r="V46" s="161"/>
    </row>
    <row r="47" spans="3:22">
      <c r="C47" s="358">
        <v>46</v>
      </c>
      <c r="D47" s="301" t="s">
        <v>626</v>
      </c>
      <c r="E47" s="139" t="s">
        <v>627</v>
      </c>
      <c r="F47" s="66">
        <v>2</v>
      </c>
      <c r="G47" s="66" t="s">
        <v>773</v>
      </c>
      <c r="H47" s="74" t="s">
        <v>771</v>
      </c>
      <c r="I47" s="299">
        <f t="shared" si="0"/>
        <v>0</v>
      </c>
      <c r="K47" s="66">
        <f t="shared" si="1"/>
        <v>0</v>
      </c>
      <c r="L47" s="66">
        <f t="shared" si="2"/>
        <v>0</v>
      </c>
      <c r="M47" s="66"/>
      <c r="N47" s="307">
        <f t="shared" si="3"/>
        <v>0</v>
      </c>
      <c r="P47" s="284" t="s">
        <v>626</v>
      </c>
      <c r="Q47" s="139" t="s">
        <v>1896</v>
      </c>
      <c r="R47" s="66">
        <v>2</v>
      </c>
      <c r="S47" s="66" t="s">
        <v>773</v>
      </c>
      <c r="T47" s="74" t="s">
        <v>771</v>
      </c>
      <c r="U47" s="299">
        <f t="shared" si="4"/>
        <v>0</v>
      </c>
      <c r="V47" s="161"/>
    </row>
    <row r="48" spans="3:22">
      <c r="C48" s="358">
        <v>47</v>
      </c>
      <c r="D48" s="301" t="s">
        <v>543</v>
      </c>
      <c r="E48" s="139" t="s">
        <v>544</v>
      </c>
      <c r="F48" s="66">
        <v>2</v>
      </c>
      <c r="G48" s="66" t="s">
        <v>773</v>
      </c>
      <c r="H48" s="74" t="s">
        <v>771</v>
      </c>
      <c r="I48" s="299">
        <f t="shared" si="0"/>
        <v>0</v>
      </c>
      <c r="K48" s="66">
        <f t="shared" si="1"/>
        <v>0</v>
      </c>
      <c r="L48" s="66">
        <f t="shared" si="2"/>
        <v>0</v>
      </c>
      <c r="M48" s="66"/>
      <c r="N48" s="307">
        <f t="shared" si="3"/>
        <v>0</v>
      </c>
      <c r="P48" s="284" t="s">
        <v>543</v>
      </c>
      <c r="Q48" s="139" t="s">
        <v>1853</v>
      </c>
      <c r="R48" s="66">
        <v>2</v>
      </c>
      <c r="S48" s="66" t="s">
        <v>773</v>
      </c>
      <c r="T48" s="74" t="s">
        <v>771</v>
      </c>
      <c r="U48" s="299">
        <f t="shared" si="4"/>
        <v>0</v>
      </c>
      <c r="V48" s="161"/>
    </row>
    <row r="49" spans="3:22">
      <c r="C49" s="358">
        <v>48</v>
      </c>
      <c r="D49" s="301" t="s">
        <v>552</v>
      </c>
      <c r="E49" s="139" t="s">
        <v>553</v>
      </c>
      <c r="F49" s="66">
        <v>2</v>
      </c>
      <c r="G49" s="66" t="s">
        <v>773</v>
      </c>
      <c r="H49" s="74" t="s">
        <v>772</v>
      </c>
      <c r="I49" s="299">
        <f t="shared" si="0"/>
        <v>0</v>
      </c>
      <c r="K49" s="66">
        <f t="shared" si="1"/>
        <v>0</v>
      </c>
      <c r="L49" s="66">
        <f t="shared" si="2"/>
        <v>0</v>
      </c>
      <c r="M49" s="66"/>
      <c r="N49" s="307">
        <f t="shared" si="3"/>
        <v>0</v>
      </c>
      <c r="P49" s="284" t="s">
        <v>552</v>
      </c>
      <c r="Q49" s="139" t="s">
        <v>1858</v>
      </c>
      <c r="R49" s="66">
        <v>2</v>
      </c>
      <c r="S49" s="66" t="s">
        <v>773</v>
      </c>
      <c r="T49" s="74" t="s">
        <v>772</v>
      </c>
      <c r="U49" s="299">
        <f t="shared" si="4"/>
        <v>0</v>
      </c>
      <c r="V49" s="161"/>
    </row>
    <row r="50" spans="3:22">
      <c r="C50" s="358">
        <v>49</v>
      </c>
      <c r="D50" s="301" t="s">
        <v>312</v>
      </c>
      <c r="E50" s="139" t="s">
        <v>313</v>
      </c>
      <c r="F50" s="66">
        <v>2</v>
      </c>
      <c r="G50" s="66" t="s">
        <v>770</v>
      </c>
      <c r="H50" s="74" t="s">
        <v>772</v>
      </c>
      <c r="I50" s="299">
        <f t="shared" si="0"/>
        <v>1</v>
      </c>
      <c r="K50" s="66">
        <f t="shared" si="1"/>
        <v>0</v>
      </c>
      <c r="L50" s="66">
        <f t="shared" si="2"/>
        <v>0</v>
      </c>
      <c r="M50" s="66"/>
      <c r="N50" s="307">
        <f t="shared" si="3"/>
        <v>0</v>
      </c>
      <c r="P50" s="284" t="s">
        <v>312</v>
      </c>
      <c r="Q50" s="139" t="s">
        <v>1736</v>
      </c>
      <c r="R50" s="66">
        <v>2</v>
      </c>
      <c r="S50" s="66" t="s">
        <v>770</v>
      </c>
      <c r="T50" s="74" t="s">
        <v>772</v>
      </c>
      <c r="U50" s="299">
        <f t="shared" si="4"/>
        <v>1</v>
      </c>
      <c r="V50" s="161"/>
    </row>
    <row r="51" spans="3:22">
      <c r="C51" s="358">
        <v>50</v>
      </c>
      <c r="D51" s="301" t="s">
        <v>283</v>
      </c>
      <c r="E51" s="139" t="s">
        <v>284</v>
      </c>
      <c r="F51" s="66">
        <v>2</v>
      </c>
      <c r="G51" s="66" t="s">
        <v>770</v>
      </c>
      <c r="H51" s="74" t="s">
        <v>771</v>
      </c>
      <c r="I51" s="299">
        <f t="shared" si="0"/>
        <v>1</v>
      </c>
      <c r="K51" s="66">
        <f t="shared" si="1"/>
        <v>0</v>
      </c>
      <c r="L51" s="66">
        <f t="shared" si="2"/>
        <v>0</v>
      </c>
      <c r="M51" s="66"/>
      <c r="N51" s="307">
        <f t="shared" si="3"/>
        <v>0</v>
      </c>
      <c r="P51" s="284" t="s">
        <v>283</v>
      </c>
      <c r="Q51" s="139" t="s">
        <v>1721</v>
      </c>
      <c r="R51" s="66">
        <v>2</v>
      </c>
      <c r="S51" s="66" t="s">
        <v>770</v>
      </c>
      <c r="T51" s="74" t="s">
        <v>771</v>
      </c>
      <c r="U51" s="299">
        <f t="shared" si="4"/>
        <v>1</v>
      </c>
      <c r="V51" s="161"/>
    </row>
    <row r="52" spans="3:22">
      <c r="C52" s="358">
        <v>51</v>
      </c>
      <c r="D52" s="301" t="s">
        <v>324</v>
      </c>
      <c r="E52" s="139" t="s">
        <v>325</v>
      </c>
      <c r="F52" s="66">
        <v>2</v>
      </c>
      <c r="G52" s="66" t="s">
        <v>773</v>
      </c>
      <c r="H52" s="74" t="s">
        <v>771</v>
      </c>
      <c r="I52" s="299">
        <f t="shared" si="0"/>
        <v>0</v>
      </c>
      <c r="K52" s="66">
        <f t="shared" si="1"/>
        <v>0</v>
      </c>
      <c r="L52" s="66">
        <f t="shared" si="2"/>
        <v>0</v>
      </c>
      <c r="M52" s="66"/>
      <c r="N52" s="307">
        <f t="shared" si="3"/>
        <v>0</v>
      </c>
      <c r="P52" s="284" t="s">
        <v>324</v>
      </c>
      <c r="Q52" s="139" t="s">
        <v>1742</v>
      </c>
      <c r="R52" s="66">
        <v>2</v>
      </c>
      <c r="S52" s="66" t="s">
        <v>773</v>
      </c>
      <c r="T52" s="74" t="s">
        <v>771</v>
      </c>
      <c r="U52" s="299">
        <f t="shared" si="4"/>
        <v>0</v>
      </c>
      <c r="V52" s="161"/>
    </row>
    <row r="53" spans="3:22">
      <c r="C53" s="358">
        <v>52</v>
      </c>
      <c r="D53" s="301" t="s">
        <v>205</v>
      </c>
      <c r="E53" s="139" t="s">
        <v>206</v>
      </c>
      <c r="F53" s="66">
        <v>2</v>
      </c>
      <c r="G53" s="66" t="s">
        <v>773</v>
      </c>
      <c r="H53" s="74" t="s">
        <v>771</v>
      </c>
      <c r="I53" s="299">
        <f t="shared" si="0"/>
        <v>0</v>
      </c>
      <c r="K53" s="66">
        <f t="shared" si="1"/>
        <v>0</v>
      </c>
      <c r="L53" s="66">
        <f t="shared" si="2"/>
        <v>0</v>
      </c>
      <c r="M53" s="66"/>
      <c r="N53" s="307">
        <f t="shared" si="3"/>
        <v>0</v>
      </c>
      <c r="P53" s="284" t="s">
        <v>205</v>
      </c>
      <c r="Q53" s="139" t="s">
        <v>1680</v>
      </c>
      <c r="R53" s="66">
        <v>2</v>
      </c>
      <c r="S53" s="66" t="s">
        <v>773</v>
      </c>
      <c r="T53" s="74" t="s">
        <v>771</v>
      </c>
      <c r="U53" s="299">
        <f t="shared" si="4"/>
        <v>0</v>
      </c>
      <c r="V53" s="161"/>
    </row>
    <row r="54" spans="3:22">
      <c r="C54" s="358">
        <v>53</v>
      </c>
      <c r="D54" s="301" t="s">
        <v>448</v>
      </c>
      <c r="E54" s="139" t="s">
        <v>449</v>
      </c>
      <c r="F54" s="66">
        <v>2</v>
      </c>
      <c r="G54" s="66" t="s">
        <v>770</v>
      </c>
      <c r="H54" s="74" t="s">
        <v>771</v>
      </c>
      <c r="I54" s="299">
        <f t="shared" si="0"/>
        <v>1</v>
      </c>
      <c r="K54" s="66">
        <f t="shared" si="1"/>
        <v>0</v>
      </c>
      <c r="L54" s="66">
        <f t="shared" si="2"/>
        <v>0</v>
      </c>
      <c r="M54" s="66"/>
      <c r="N54" s="307">
        <f t="shared" si="3"/>
        <v>0</v>
      </c>
      <c r="P54" s="284" t="s">
        <v>448</v>
      </c>
      <c r="Q54" s="139" t="s">
        <v>1807</v>
      </c>
      <c r="R54" s="66">
        <v>2</v>
      </c>
      <c r="S54" s="66" t="s">
        <v>770</v>
      </c>
      <c r="T54" s="74" t="s">
        <v>771</v>
      </c>
      <c r="U54" s="299">
        <f t="shared" si="4"/>
        <v>1</v>
      </c>
      <c r="V54" s="161"/>
    </row>
    <row r="55" spans="3:22">
      <c r="C55" s="358">
        <v>54</v>
      </c>
      <c r="D55" s="301" t="s">
        <v>259</v>
      </c>
      <c r="E55" s="139" t="s">
        <v>260</v>
      </c>
      <c r="F55" s="66">
        <v>2</v>
      </c>
      <c r="G55" s="66" t="s">
        <v>770</v>
      </c>
      <c r="H55" s="74" t="s">
        <v>771</v>
      </c>
      <c r="I55" s="299">
        <f t="shared" si="0"/>
        <v>1</v>
      </c>
      <c r="K55" s="66">
        <f t="shared" si="1"/>
        <v>0</v>
      </c>
      <c r="L55" s="66">
        <f t="shared" si="2"/>
        <v>0</v>
      </c>
      <c r="M55" s="66"/>
      <c r="N55" s="307">
        <f t="shared" si="3"/>
        <v>0</v>
      </c>
      <c r="P55" s="284" t="s">
        <v>259</v>
      </c>
      <c r="Q55" s="139" t="s">
        <v>1709</v>
      </c>
      <c r="R55" s="66">
        <v>2</v>
      </c>
      <c r="S55" s="66" t="s">
        <v>770</v>
      </c>
      <c r="T55" s="74" t="s">
        <v>771</v>
      </c>
      <c r="U55" s="299">
        <f t="shared" si="4"/>
        <v>1</v>
      </c>
      <c r="V55" s="161"/>
    </row>
    <row r="56" spans="3:22">
      <c r="C56" s="358">
        <v>55</v>
      </c>
      <c r="D56" s="301" t="s">
        <v>501</v>
      </c>
      <c r="E56" s="139" t="s">
        <v>502</v>
      </c>
      <c r="F56" s="66">
        <v>2</v>
      </c>
      <c r="G56" s="66" t="s">
        <v>770</v>
      </c>
      <c r="H56" s="74" t="s">
        <v>771</v>
      </c>
      <c r="I56" s="299">
        <f t="shared" si="0"/>
        <v>1</v>
      </c>
      <c r="K56" s="66">
        <f t="shared" si="1"/>
        <v>0</v>
      </c>
      <c r="L56" s="66">
        <f t="shared" si="2"/>
        <v>0</v>
      </c>
      <c r="M56" s="66"/>
      <c r="N56" s="307">
        <f t="shared" si="3"/>
        <v>0</v>
      </c>
      <c r="P56" s="284" t="s">
        <v>501</v>
      </c>
      <c r="Q56" s="139" t="s">
        <v>1833</v>
      </c>
      <c r="R56" s="66">
        <v>2</v>
      </c>
      <c r="S56" s="66" t="s">
        <v>770</v>
      </c>
      <c r="T56" s="74" t="s">
        <v>771</v>
      </c>
      <c r="U56" s="299">
        <f t="shared" si="4"/>
        <v>1</v>
      </c>
      <c r="V56" s="161"/>
    </row>
    <row r="57" spans="3:22">
      <c r="C57" s="358">
        <v>56</v>
      </c>
      <c r="D57" s="301" t="s">
        <v>384</v>
      </c>
      <c r="E57" s="139" t="s">
        <v>385</v>
      </c>
      <c r="F57" s="66">
        <v>2</v>
      </c>
      <c r="G57" s="66" t="s">
        <v>770</v>
      </c>
      <c r="H57" s="74" t="s">
        <v>772</v>
      </c>
      <c r="I57" s="299">
        <f t="shared" si="0"/>
        <v>1</v>
      </c>
      <c r="K57" s="66">
        <f t="shared" si="1"/>
        <v>0</v>
      </c>
      <c r="L57" s="66">
        <f t="shared" si="2"/>
        <v>0</v>
      </c>
      <c r="M57" s="66"/>
      <c r="N57" s="307">
        <f t="shared" si="3"/>
        <v>0</v>
      </c>
      <c r="P57" s="284" t="s">
        <v>384</v>
      </c>
      <c r="Q57" s="139" t="s">
        <v>1775</v>
      </c>
      <c r="R57" s="66">
        <v>2</v>
      </c>
      <c r="S57" s="66" t="s">
        <v>770</v>
      </c>
      <c r="T57" s="74" t="s">
        <v>772</v>
      </c>
      <c r="U57" s="299">
        <f t="shared" si="4"/>
        <v>1</v>
      </c>
      <c r="V57" s="161"/>
    </row>
    <row r="58" spans="3:22">
      <c r="C58" s="358">
        <v>57</v>
      </c>
      <c r="D58" s="301" t="s">
        <v>586</v>
      </c>
      <c r="E58" s="139" t="s">
        <v>587</v>
      </c>
      <c r="F58" s="66">
        <v>2</v>
      </c>
      <c r="G58" s="66" t="s">
        <v>773</v>
      </c>
      <c r="H58" s="74" t="s">
        <v>771</v>
      </c>
      <c r="I58" s="299">
        <f t="shared" si="0"/>
        <v>0</v>
      </c>
      <c r="K58" s="66">
        <f t="shared" si="1"/>
        <v>0</v>
      </c>
      <c r="L58" s="66">
        <f t="shared" si="2"/>
        <v>0</v>
      </c>
      <c r="M58" s="66"/>
      <c r="N58" s="307">
        <f t="shared" si="3"/>
        <v>0</v>
      </c>
      <c r="P58" s="284" t="s">
        <v>586</v>
      </c>
      <c r="Q58" s="139" t="s">
        <v>1875</v>
      </c>
      <c r="R58" s="66">
        <v>2</v>
      </c>
      <c r="S58" s="66" t="s">
        <v>773</v>
      </c>
      <c r="T58" s="74" t="s">
        <v>771</v>
      </c>
      <c r="U58" s="299">
        <f t="shared" si="4"/>
        <v>0</v>
      </c>
      <c r="V58" s="161"/>
    </row>
    <row r="59" spans="3:22">
      <c r="C59" s="358">
        <v>58</v>
      </c>
      <c r="D59" s="301" t="s">
        <v>456</v>
      </c>
      <c r="E59" s="139" t="s">
        <v>457</v>
      </c>
      <c r="F59" s="66">
        <v>2</v>
      </c>
      <c r="G59" s="66" t="s">
        <v>770</v>
      </c>
      <c r="H59" s="74" t="s">
        <v>771</v>
      </c>
      <c r="I59" s="299">
        <f t="shared" si="0"/>
        <v>1</v>
      </c>
      <c r="K59" s="66">
        <f t="shared" si="1"/>
        <v>0</v>
      </c>
      <c r="L59" s="66">
        <f t="shared" si="2"/>
        <v>0</v>
      </c>
      <c r="M59" s="66"/>
      <c r="N59" s="307">
        <f t="shared" si="3"/>
        <v>0</v>
      </c>
      <c r="P59" s="284" t="s">
        <v>456</v>
      </c>
      <c r="Q59" s="139" t="s">
        <v>1811</v>
      </c>
      <c r="R59" s="66">
        <v>2</v>
      </c>
      <c r="S59" s="66" t="s">
        <v>770</v>
      </c>
      <c r="T59" s="74" t="s">
        <v>771</v>
      </c>
      <c r="U59" s="299">
        <f t="shared" si="4"/>
        <v>1</v>
      </c>
      <c r="V59" s="161"/>
    </row>
    <row r="60" spans="3:22">
      <c r="C60" s="358">
        <v>59</v>
      </c>
      <c r="D60" s="301" t="s">
        <v>229</v>
      </c>
      <c r="E60" s="139" t="s">
        <v>230</v>
      </c>
      <c r="F60" s="66">
        <v>2</v>
      </c>
      <c r="G60" s="66" t="s">
        <v>770</v>
      </c>
      <c r="H60" s="74" t="s">
        <v>771</v>
      </c>
      <c r="I60" s="299">
        <f t="shared" si="0"/>
        <v>1</v>
      </c>
      <c r="K60" s="66">
        <f t="shared" si="1"/>
        <v>0</v>
      </c>
      <c r="L60" s="66">
        <f t="shared" si="2"/>
        <v>0</v>
      </c>
      <c r="M60" s="66"/>
      <c r="N60" s="307">
        <f t="shared" si="3"/>
        <v>0</v>
      </c>
      <c r="P60" s="284" t="s">
        <v>229</v>
      </c>
      <c r="Q60" s="139" t="s">
        <v>1694</v>
      </c>
      <c r="R60" s="66">
        <v>2</v>
      </c>
      <c r="S60" s="66" t="s">
        <v>770</v>
      </c>
      <c r="T60" s="74" t="s">
        <v>771</v>
      </c>
      <c r="U60" s="299">
        <f t="shared" si="4"/>
        <v>1</v>
      </c>
      <c r="V60" s="161"/>
    </row>
    <row r="61" spans="3:22">
      <c r="C61" s="358">
        <v>60</v>
      </c>
      <c r="D61" s="301" t="s">
        <v>614</v>
      </c>
      <c r="E61" s="139" t="s">
        <v>615</v>
      </c>
      <c r="F61" s="66">
        <v>1</v>
      </c>
      <c r="G61" s="66" t="s">
        <v>773</v>
      </c>
      <c r="H61" s="74" t="s">
        <v>771</v>
      </c>
      <c r="I61" s="299">
        <f t="shared" si="0"/>
        <v>0</v>
      </c>
      <c r="K61" s="66">
        <f t="shared" si="1"/>
        <v>0</v>
      </c>
      <c r="L61" s="66">
        <f t="shared" si="2"/>
        <v>0</v>
      </c>
      <c r="M61" s="66"/>
      <c r="N61" s="307">
        <f t="shared" si="3"/>
        <v>0</v>
      </c>
      <c r="P61" s="284" t="s">
        <v>614</v>
      </c>
      <c r="Q61" s="139" t="s">
        <v>1890</v>
      </c>
      <c r="R61" s="66">
        <v>1</v>
      </c>
      <c r="S61" s="66" t="s">
        <v>773</v>
      </c>
      <c r="T61" s="74" t="s">
        <v>771</v>
      </c>
      <c r="U61" s="299">
        <f t="shared" si="4"/>
        <v>0</v>
      </c>
      <c r="V61" s="161"/>
    </row>
    <row r="62" spans="3:22">
      <c r="C62" s="358">
        <v>61</v>
      </c>
      <c r="D62" s="301" t="s">
        <v>517</v>
      </c>
      <c r="E62" s="139" t="s">
        <v>518</v>
      </c>
      <c r="F62" s="66">
        <v>2</v>
      </c>
      <c r="G62" s="66" t="s">
        <v>773</v>
      </c>
      <c r="H62" s="74" t="s">
        <v>772</v>
      </c>
      <c r="I62" s="299">
        <f t="shared" si="0"/>
        <v>0</v>
      </c>
      <c r="K62" s="66">
        <f t="shared" si="1"/>
        <v>0</v>
      </c>
      <c r="L62" s="66">
        <f t="shared" si="2"/>
        <v>0</v>
      </c>
      <c r="M62" s="66"/>
      <c r="N62" s="307">
        <f t="shared" si="3"/>
        <v>0</v>
      </c>
      <c r="P62" s="284" t="s">
        <v>517</v>
      </c>
      <c r="Q62" s="139" t="s">
        <v>1840</v>
      </c>
      <c r="R62" s="66">
        <v>2</v>
      </c>
      <c r="S62" s="66" t="s">
        <v>773</v>
      </c>
      <c r="T62" s="74" t="s">
        <v>772</v>
      </c>
      <c r="U62" s="299">
        <f t="shared" si="4"/>
        <v>0</v>
      </c>
      <c r="V62" s="161"/>
    </row>
    <row r="63" spans="3:22">
      <c r="C63" s="358">
        <v>62</v>
      </c>
      <c r="D63" s="301" t="s">
        <v>658</v>
      </c>
      <c r="E63" s="139" t="s">
        <v>659</v>
      </c>
      <c r="F63" s="66">
        <v>2</v>
      </c>
      <c r="G63" s="66" t="s">
        <v>770</v>
      </c>
      <c r="H63" s="74" t="s">
        <v>772</v>
      </c>
      <c r="I63" s="299">
        <f t="shared" si="0"/>
        <v>1</v>
      </c>
      <c r="K63" s="66">
        <f t="shared" si="1"/>
        <v>0</v>
      </c>
      <c r="L63" s="66">
        <f t="shared" si="2"/>
        <v>0</v>
      </c>
      <c r="M63" s="66"/>
      <c r="N63" s="307">
        <f t="shared" si="3"/>
        <v>0</v>
      </c>
      <c r="P63" s="284" t="s">
        <v>658</v>
      </c>
      <c r="Q63" s="139" t="s">
        <v>1914</v>
      </c>
      <c r="R63" s="66">
        <v>2</v>
      </c>
      <c r="S63" s="66" t="s">
        <v>770</v>
      </c>
      <c r="T63" s="74" t="s">
        <v>772</v>
      </c>
      <c r="U63" s="299">
        <f t="shared" si="4"/>
        <v>1</v>
      </c>
      <c r="V63" s="161"/>
    </row>
    <row r="64" spans="3:22">
      <c r="C64" s="358">
        <v>63</v>
      </c>
      <c r="D64" s="301" t="s">
        <v>610</v>
      </c>
      <c r="E64" s="139" t="s">
        <v>802</v>
      </c>
      <c r="F64" s="66">
        <v>1</v>
      </c>
      <c r="G64" s="66" t="s">
        <v>773</v>
      </c>
      <c r="H64" s="74" t="s">
        <v>771</v>
      </c>
      <c r="I64" s="299">
        <f t="shared" si="0"/>
        <v>0</v>
      </c>
      <c r="K64" s="66">
        <f t="shared" si="1"/>
        <v>0</v>
      </c>
      <c r="L64" s="66">
        <f t="shared" si="2"/>
        <v>0</v>
      </c>
      <c r="M64" s="66"/>
      <c r="N64" s="307">
        <f t="shared" si="3"/>
        <v>0</v>
      </c>
      <c r="P64" s="284" t="s">
        <v>610</v>
      </c>
      <c r="Q64" s="139" t="s">
        <v>1887</v>
      </c>
      <c r="R64" s="66">
        <v>1</v>
      </c>
      <c r="S64" s="66" t="s">
        <v>773</v>
      </c>
      <c r="T64" s="74" t="s">
        <v>771</v>
      </c>
      <c r="U64" s="299">
        <f t="shared" si="4"/>
        <v>0</v>
      </c>
      <c r="V64" s="161"/>
    </row>
    <row r="65" spans="3:22">
      <c r="C65" s="358">
        <v>64</v>
      </c>
      <c r="D65" s="301" t="s">
        <v>717</v>
      </c>
      <c r="E65" s="139" t="s">
        <v>807</v>
      </c>
      <c r="F65" s="66">
        <v>1</v>
      </c>
      <c r="G65" s="66" t="s">
        <v>773</v>
      </c>
      <c r="H65" s="74" t="s">
        <v>771</v>
      </c>
      <c r="I65" s="299">
        <f t="shared" si="0"/>
        <v>0</v>
      </c>
      <c r="K65" s="66">
        <f t="shared" si="1"/>
        <v>0</v>
      </c>
      <c r="L65" s="66">
        <f t="shared" si="2"/>
        <v>0</v>
      </c>
      <c r="M65" s="66"/>
      <c r="N65" s="307">
        <f t="shared" si="3"/>
        <v>0</v>
      </c>
      <c r="P65" s="284" t="s">
        <v>717</v>
      </c>
      <c r="Q65" s="139" t="s">
        <v>1945</v>
      </c>
      <c r="R65" s="66">
        <v>1</v>
      </c>
      <c r="S65" s="66" t="s">
        <v>773</v>
      </c>
      <c r="T65" s="74" t="s">
        <v>771</v>
      </c>
      <c r="U65" s="299">
        <f t="shared" si="4"/>
        <v>0</v>
      </c>
      <c r="V65" s="161"/>
    </row>
    <row r="66" spans="3:22">
      <c r="C66" s="358">
        <v>65</v>
      </c>
      <c r="D66" s="301" t="s">
        <v>251</v>
      </c>
      <c r="E66" s="139" t="s">
        <v>252</v>
      </c>
      <c r="F66" s="66">
        <v>1</v>
      </c>
      <c r="G66" s="66" t="s">
        <v>773</v>
      </c>
      <c r="H66" s="74" t="s">
        <v>771</v>
      </c>
      <c r="I66" s="299">
        <f t="shared" ref="I66:I129" si="5">IF(+G66="cash",1,0)</f>
        <v>0</v>
      </c>
      <c r="K66" s="66">
        <f t="shared" ref="K66:K129" si="6">+F66-R66</f>
        <v>0</v>
      </c>
      <c r="L66" s="66">
        <f t="shared" ref="L66:L129" si="7">+I66-U66</f>
        <v>0</v>
      </c>
      <c r="M66" s="66"/>
      <c r="N66" s="307">
        <f t="shared" ref="N66:N129" si="8">+P66-D66</f>
        <v>0</v>
      </c>
      <c r="P66" s="284" t="s">
        <v>251</v>
      </c>
      <c r="Q66" s="139" t="s">
        <v>1705</v>
      </c>
      <c r="R66" s="66">
        <v>1</v>
      </c>
      <c r="S66" s="66" t="s">
        <v>773</v>
      </c>
      <c r="T66" s="74" t="s">
        <v>771</v>
      </c>
      <c r="U66" s="299">
        <f t="shared" ref="U66:U129" si="9">IF(+S66="cash",1,0)</f>
        <v>0</v>
      </c>
      <c r="V66" s="161"/>
    </row>
    <row r="67" spans="3:22">
      <c r="C67" s="358">
        <v>66</v>
      </c>
      <c r="D67" s="301" t="s">
        <v>386</v>
      </c>
      <c r="E67" s="139" t="s">
        <v>387</v>
      </c>
      <c r="F67" s="66">
        <v>2</v>
      </c>
      <c r="G67" s="66" t="s">
        <v>773</v>
      </c>
      <c r="H67" s="74" t="s">
        <v>771</v>
      </c>
      <c r="I67" s="299">
        <f t="shared" si="5"/>
        <v>0</v>
      </c>
      <c r="K67" s="66">
        <f t="shared" si="6"/>
        <v>0</v>
      </c>
      <c r="L67" s="66">
        <f t="shared" si="7"/>
        <v>0</v>
      </c>
      <c r="M67" s="66"/>
      <c r="N67" s="307">
        <f t="shared" si="8"/>
        <v>0</v>
      </c>
      <c r="P67" s="284" t="s">
        <v>386</v>
      </c>
      <c r="Q67" s="139" t="s">
        <v>1776</v>
      </c>
      <c r="R67" s="66">
        <v>2</v>
      </c>
      <c r="S67" s="66" t="s">
        <v>773</v>
      </c>
      <c r="T67" s="74" t="s">
        <v>771</v>
      </c>
      <c r="U67" s="299">
        <f t="shared" si="9"/>
        <v>0</v>
      </c>
      <c r="V67" s="161"/>
    </row>
    <row r="68" spans="3:22">
      <c r="C68" s="358">
        <v>67</v>
      </c>
      <c r="D68" s="301" t="s">
        <v>529</v>
      </c>
      <c r="E68" s="139" t="s">
        <v>530</v>
      </c>
      <c r="F68" s="66">
        <v>2</v>
      </c>
      <c r="G68" s="66" t="s">
        <v>773</v>
      </c>
      <c r="H68" s="74" t="s">
        <v>771</v>
      </c>
      <c r="I68" s="299">
        <f t="shared" si="5"/>
        <v>0</v>
      </c>
      <c r="K68" s="66">
        <f t="shared" si="6"/>
        <v>0</v>
      </c>
      <c r="L68" s="66">
        <f t="shared" si="7"/>
        <v>0</v>
      </c>
      <c r="M68" s="66"/>
      <c r="N68" s="307">
        <f t="shared" si="8"/>
        <v>0</v>
      </c>
      <c r="P68" s="284" t="s">
        <v>529</v>
      </c>
      <c r="Q68" s="139" t="s">
        <v>1846</v>
      </c>
      <c r="R68" s="66">
        <v>2</v>
      </c>
      <c r="S68" s="66" t="s">
        <v>773</v>
      </c>
      <c r="T68" s="74" t="s">
        <v>771</v>
      </c>
      <c r="U68" s="299">
        <f t="shared" si="9"/>
        <v>0</v>
      </c>
      <c r="V68" s="161"/>
    </row>
    <row r="69" spans="3:22">
      <c r="C69" s="358">
        <v>68</v>
      </c>
      <c r="D69" s="301" t="s">
        <v>570</v>
      </c>
      <c r="E69" s="139" t="s">
        <v>571</v>
      </c>
      <c r="F69" s="66">
        <v>1</v>
      </c>
      <c r="G69" s="66" t="s">
        <v>773</v>
      </c>
      <c r="H69" s="74" t="s">
        <v>771</v>
      </c>
      <c r="I69" s="299">
        <f t="shared" si="5"/>
        <v>0</v>
      </c>
      <c r="K69" s="66">
        <f t="shared" si="6"/>
        <v>0</v>
      </c>
      <c r="L69" s="66">
        <f t="shared" si="7"/>
        <v>0</v>
      </c>
      <c r="M69" s="66"/>
      <c r="N69" s="307">
        <f t="shared" si="8"/>
        <v>0</v>
      </c>
      <c r="P69" s="284" t="s">
        <v>570</v>
      </c>
      <c r="Q69" s="139" t="s">
        <v>1867</v>
      </c>
      <c r="R69" s="66">
        <v>1</v>
      </c>
      <c r="S69" s="66" t="s">
        <v>773</v>
      </c>
      <c r="T69" s="74" t="s">
        <v>771</v>
      </c>
      <c r="U69" s="299">
        <f t="shared" si="9"/>
        <v>0</v>
      </c>
      <c r="V69" s="161"/>
    </row>
    <row r="70" spans="3:22">
      <c r="C70" s="358">
        <v>69</v>
      </c>
      <c r="D70" s="301" t="s">
        <v>390</v>
      </c>
      <c r="E70" s="139" t="s">
        <v>391</v>
      </c>
      <c r="F70" s="66">
        <v>1</v>
      </c>
      <c r="G70" s="66" t="s">
        <v>773</v>
      </c>
      <c r="H70" s="74" t="s">
        <v>771</v>
      </c>
      <c r="I70" s="299">
        <f t="shared" si="5"/>
        <v>0</v>
      </c>
      <c r="K70" s="66">
        <f t="shared" si="6"/>
        <v>0</v>
      </c>
      <c r="L70" s="66">
        <f t="shared" si="7"/>
        <v>0</v>
      </c>
      <c r="M70" s="66"/>
      <c r="N70" s="307">
        <f t="shared" si="8"/>
        <v>0</v>
      </c>
      <c r="P70" s="284" t="s">
        <v>390</v>
      </c>
      <c r="Q70" s="139" t="s">
        <v>1778</v>
      </c>
      <c r="R70" s="66">
        <v>1</v>
      </c>
      <c r="S70" s="66" t="s">
        <v>773</v>
      </c>
      <c r="T70" s="74" t="s">
        <v>771</v>
      </c>
      <c r="U70" s="299">
        <f t="shared" si="9"/>
        <v>0</v>
      </c>
      <c r="V70" s="161"/>
    </row>
    <row r="71" spans="3:22">
      <c r="C71" s="358">
        <v>70</v>
      </c>
      <c r="D71" s="301" t="s">
        <v>307</v>
      </c>
      <c r="E71" s="139" t="s">
        <v>308</v>
      </c>
      <c r="F71" s="66">
        <v>2</v>
      </c>
      <c r="G71" s="66" t="s">
        <v>773</v>
      </c>
      <c r="H71" s="74" t="s">
        <v>771</v>
      </c>
      <c r="I71" s="299">
        <f t="shared" si="5"/>
        <v>0</v>
      </c>
      <c r="K71" s="66">
        <f t="shared" si="6"/>
        <v>0</v>
      </c>
      <c r="L71" s="66">
        <f t="shared" si="7"/>
        <v>0</v>
      </c>
      <c r="M71" s="66"/>
      <c r="N71" s="307">
        <f t="shared" si="8"/>
        <v>0</v>
      </c>
      <c r="P71" s="284" t="s">
        <v>307</v>
      </c>
      <c r="Q71" s="139" t="s">
        <v>1733</v>
      </c>
      <c r="R71" s="66">
        <v>2</v>
      </c>
      <c r="S71" s="66" t="s">
        <v>773</v>
      </c>
      <c r="T71" s="74" t="s">
        <v>771</v>
      </c>
      <c r="U71" s="299">
        <f t="shared" si="9"/>
        <v>0</v>
      </c>
      <c r="V71" s="161"/>
    </row>
    <row r="72" spans="3:22">
      <c r="C72" s="358">
        <v>71</v>
      </c>
      <c r="D72" s="301" t="s">
        <v>703</v>
      </c>
      <c r="E72" s="139" t="s">
        <v>704</v>
      </c>
      <c r="F72" s="66">
        <v>2</v>
      </c>
      <c r="G72" s="611" t="s">
        <v>773</v>
      </c>
      <c r="H72" s="74" t="s">
        <v>771</v>
      </c>
      <c r="I72" s="612">
        <f t="shared" si="5"/>
        <v>0</v>
      </c>
      <c r="K72" s="66">
        <f t="shared" si="6"/>
        <v>0</v>
      </c>
      <c r="L72" s="66">
        <f t="shared" si="7"/>
        <v>0</v>
      </c>
      <c r="M72" s="66"/>
      <c r="N72" s="307">
        <f t="shared" si="8"/>
        <v>0</v>
      </c>
      <c r="P72" s="284" t="s">
        <v>703</v>
      </c>
      <c r="Q72" s="139" t="s">
        <v>1938</v>
      </c>
      <c r="R72" s="66">
        <v>2</v>
      </c>
      <c r="S72" s="611" t="s">
        <v>773</v>
      </c>
      <c r="T72" s="74" t="s">
        <v>771</v>
      </c>
      <c r="U72" s="612">
        <f t="shared" si="9"/>
        <v>0</v>
      </c>
      <c r="V72" s="161"/>
    </row>
    <row r="73" spans="3:22">
      <c r="C73" s="358">
        <v>72</v>
      </c>
      <c r="D73" s="301" t="s">
        <v>193</v>
      </c>
      <c r="E73" s="139" t="s">
        <v>194</v>
      </c>
      <c r="F73" s="66">
        <v>2</v>
      </c>
      <c r="G73" s="66" t="s">
        <v>773</v>
      </c>
      <c r="H73" s="74" t="s">
        <v>771</v>
      </c>
      <c r="I73" s="299">
        <f t="shared" si="5"/>
        <v>0</v>
      </c>
      <c r="K73" s="66">
        <f t="shared" si="6"/>
        <v>0</v>
      </c>
      <c r="L73" s="66">
        <f t="shared" si="7"/>
        <v>0</v>
      </c>
      <c r="M73" s="66"/>
      <c r="N73" s="307">
        <f t="shared" si="8"/>
        <v>0</v>
      </c>
      <c r="P73" s="284" t="s">
        <v>193</v>
      </c>
      <c r="Q73" s="139" t="s">
        <v>1674</v>
      </c>
      <c r="R73" s="66">
        <v>2</v>
      </c>
      <c r="S73" s="66" t="s">
        <v>773</v>
      </c>
      <c r="T73" s="74" t="s">
        <v>771</v>
      </c>
      <c r="U73" s="299">
        <f t="shared" si="9"/>
        <v>0</v>
      </c>
      <c r="V73" s="161"/>
    </row>
    <row r="74" spans="3:22">
      <c r="C74" s="358">
        <v>73</v>
      </c>
      <c r="D74" s="301" t="s">
        <v>342</v>
      </c>
      <c r="E74" s="139" t="s">
        <v>343</v>
      </c>
      <c r="F74" s="66">
        <v>1</v>
      </c>
      <c r="G74" s="66" t="s">
        <v>773</v>
      </c>
      <c r="H74" s="74" t="s">
        <v>771</v>
      </c>
      <c r="I74" s="299">
        <f t="shared" si="5"/>
        <v>0</v>
      </c>
      <c r="K74" s="66">
        <f t="shared" si="6"/>
        <v>0</v>
      </c>
      <c r="L74" s="66">
        <f t="shared" si="7"/>
        <v>0</v>
      </c>
      <c r="M74" s="66"/>
      <c r="N74" s="307">
        <f t="shared" si="8"/>
        <v>0</v>
      </c>
      <c r="P74" s="284" t="s">
        <v>342</v>
      </c>
      <c r="Q74" s="139" t="s">
        <v>1751</v>
      </c>
      <c r="R74" s="66">
        <v>1</v>
      </c>
      <c r="S74" s="66" t="s">
        <v>773</v>
      </c>
      <c r="T74" s="74" t="s">
        <v>771</v>
      </c>
      <c r="U74" s="299">
        <f t="shared" si="9"/>
        <v>0</v>
      </c>
      <c r="V74" s="161"/>
    </row>
    <row r="75" spans="3:22">
      <c r="C75" s="358">
        <v>74</v>
      </c>
      <c r="D75" s="301" t="s">
        <v>291</v>
      </c>
      <c r="E75" s="139" t="s">
        <v>292</v>
      </c>
      <c r="F75" s="66">
        <v>1</v>
      </c>
      <c r="G75" s="66" t="s">
        <v>773</v>
      </c>
      <c r="H75" s="74" t="s">
        <v>771</v>
      </c>
      <c r="I75" s="299">
        <f t="shared" si="5"/>
        <v>0</v>
      </c>
      <c r="K75" s="66">
        <f t="shared" si="6"/>
        <v>0</v>
      </c>
      <c r="L75" s="66">
        <f t="shared" si="7"/>
        <v>0</v>
      </c>
      <c r="M75" s="66"/>
      <c r="N75" s="307">
        <f t="shared" si="8"/>
        <v>0</v>
      </c>
      <c r="P75" s="284" t="s">
        <v>291</v>
      </c>
      <c r="Q75" s="139" t="s">
        <v>1725</v>
      </c>
      <c r="R75" s="66">
        <v>1</v>
      </c>
      <c r="S75" s="66" t="s">
        <v>773</v>
      </c>
      <c r="T75" s="74" t="s">
        <v>771</v>
      </c>
      <c r="U75" s="299">
        <f t="shared" si="9"/>
        <v>0</v>
      </c>
      <c r="V75" s="161"/>
    </row>
    <row r="76" spans="3:22">
      <c r="C76" s="358">
        <v>75</v>
      </c>
      <c r="D76" s="304" t="s">
        <v>1500</v>
      </c>
      <c r="E76" s="73" t="s">
        <v>1582</v>
      </c>
      <c r="F76" s="66">
        <v>1</v>
      </c>
      <c r="G76" s="66" t="s">
        <v>773</v>
      </c>
      <c r="H76" s="74"/>
      <c r="I76" s="299">
        <f t="shared" si="5"/>
        <v>0</v>
      </c>
      <c r="K76" s="66">
        <f t="shared" si="6"/>
        <v>0</v>
      </c>
      <c r="L76" s="66">
        <f t="shared" si="7"/>
        <v>0</v>
      </c>
      <c r="M76" s="66"/>
      <c r="N76" s="307">
        <f t="shared" si="8"/>
        <v>0</v>
      </c>
      <c r="P76" s="287" t="s">
        <v>1500</v>
      </c>
      <c r="Q76" s="73" t="s">
        <v>1582</v>
      </c>
      <c r="R76" s="66">
        <v>1</v>
      </c>
      <c r="S76" s="66" t="s">
        <v>773</v>
      </c>
      <c r="T76" s="74"/>
      <c r="U76" s="299">
        <f t="shared" si="9"/>
        <v>0</v>
      </c>
      <c r="V76" s="161"/>
    </row>
    <row r="77" spans="3:22">
      <c r="C77" s="358">
        <v>76</v>
      </c>
      <c r="D77" s="305" t="s">
        <v>766</v>
      </c>
      <c r="E77" s="73" t="s">
        <v>1583</v>
      </c>
      <c r="F77" s="66">
        <v>1</v>
      </c>
      <c r="G77" s="66" t="s">
        <v>773</v>
      </c>
      <c r="H77" s="74"/>
      <c r="I77" s="299">
        <f t="shared" si="5"/>
        <v>0</v>
      </c>
      <c r="K77" s="66">
        <f t="shared" si="6"/>
        <v>0</v>
      </c>
      <c r="L77" s="66">
        <f t="shared" si="7"/>
        <v>0</v>
      </c>
      <c r="M77" s="66"/>
      <c r="N77" s="307">
        <f t="shared" si="8"/>
        <v>0</v>
      </c>
      <c r="P77" s="288" t="s">
        <v>766</v>
      </c>
      <c r="Q77" s="73" t="s">
        <v>1583</v>
      </c>
      <c r="R77" s="66">
        <v>1</v>
      </c>
      <c r="S77" s="66" t="s">
        <v>773</v>
      </c>
      <c r="T77" s="74"/>
      <c r="U77" s="299">
        <f t="shared" si="9"/>
        <v>0</v>
      </c>
      <c r="V77" s="161"/>
    </row>
    <row r="78" spans="3:22">
      <c r="C78" s="358">
        <v>77</v>
      </c>
      <c r="D78" s="304" t="s">
        <v>768</v>
      </c>
      <c r="E78" s="73" t="s">
        <v>1584</v>
      </c>
      <c r="F78" s="66">
        <v>1</v>
      </c>
      <c r="G78" s="66" t="s">
        <v>773</v>
      </c>
      <c r="H78" s="74"/>
      <c r="I78" s="299">
        <f t="shared" si="5"/>
        <v>0</v>
      </c>
      <c r="K78" s="66">
        <f t="shared" si="6"/>
        <v>0</v>
      </c>
      <c r="L78" s="66">
        <f t="shared" si="7"/>
        <v>0</v>
      </c>
      <c r="M78" s="66"/>
      <c r="N78" s="307">
        <f t="shared" si="8"/>
        <v>0</v>
      </c>
      <c r="P78" s="287" t="s">
        <v>768</v>
      </c>
      <c r="Q78" s="73" t="s">
        <v>1584</v>
      </c>
      <c r="R78" s="66">
        <v>1</v>
      </c>
      <c r="S78" s="66" t="s">
        <v>773</v>
      </c>
      <c r="T78" s="74"/>
      <c r="U78" s="299">
        <f t="shared" si="9"/>
        <v>0</v>
      </c>
      <c r="V78" s="161"/>
    </row>
    <row r="79" spans="3:22">
      <c r="C79" s="358">
        <v>78</v>
      </c>
      <c r="D79" s="304" t="s">
        <v>761</v>
      </c>
      <c r="E79" s="73" t="s">
        <v>1585</v>
      </c>
      <c r="F79" s="66">
        <v>1</v>
      </c>
      <c r="G79" s="66" t="s">
        <v>773</v>
      </c>
      <c r="H79" s="74"/>
      <c r="I79" s="299">
        <f t="shared" si="5"/>
        <v>0</v>
      </c>
      <c r="K79" s="66">
        <f t="shared" si="6"/>
        <v>0</v>
      </c>
      <c r="L79" s="66">
        <f t="shared" si="7"/>
        <v>0</v>
      </c>
      <c r="M79" s="66"/>
      <c r="N79" s="307">
        <f t="shared" si="8"/>
        <v>0</v>
      </c>
      <c r="P79" s="287" t="s">
        <v>761</v>
      </c>
      <c r="Q79" s="73" t="s">
        <v>1585</v>
      </c>
      <c r="R79" s="66">
        <v>1</v>
      </c>
      <c r="S79" s="66" t="s">
        <v>773</v>
      </c>
      <c r="T79" s="74"/>
      <c r="U79" s="299">
        <f t="shared" si="9"/>
        <v>0</v>
      </c>
      <c r="V79" s="161"/>
    </row>
    <row r="80" spans="3:22">
      <c r="C80" s="358">
        <v>79</v>
      </c>
      <c r="D80" s="305" t="s">
        <v>767</v>
      </c>
      <c r="E80" s="73" t="s">
        <v>1586</v>
      </c>
      <c r="F80" s="66">
        <v>1</v>
      </c>
      <c r="G80" s="66" t="s">
        <v>773</v>
      </c>
      <c r="H80" s="74"/>
      <c r="I80" s="299">
        <f t="shared" si="5"/>
        <v>0</v>
      </c>
      <c r="K80" s="66">
        <f t="shared" si="6"/>
        <v>0</v>
      </c>
      <c r="L80" s="66">
        <f t="shared" si="7"/>
        <v>0</v>
      </c>
      <c r="M80" s="66"/>
      <c r="N80" s="307">
        <f t="shared" si="8"/>
        <v>0</v>
      </c>
      <c r="P80" s="288" t="s">
        <v>767</v>
      </c>
      <c r="Q80" s="73" t="s">
        <v>1586</v>
      </c>
      <c r="R80" s="66">
        <v>1</v>
      </c>
      <c r="S80" s="66" t="s">
        <v>773</v>
      </c>
      <c r="T80" s="74"/>
      <c r="U80" s="299">
        <f t="shared" si="9"/>
        <v>0</v>
      </c>
      <c r="V80" s="161"/>
    </row>
    <row r="81" spans="3:22">
      <c r="C81" s="358">
        <v>80</v>
      </c>
      <c r="D81" s="304" t="s">
        <v>764</v>
      </c>
      <c r="E81" s="73" t="s">
        <v>1601</v>
      </c>
      <c r="F81" s="66">
        <v>1</v>
      </c>
      <c r="G81" s="66" t="s">
        <v>773</v>
      </c>
      <c r="H81" s="74"/>
      <c r="I81" s="299">
        <f t="shared" si="5"/>
        <v>0</v>
      </c>
      <c r="K81" s="66">
        <f t="shared" si="6"/>
        <v>0</v>
      </c>
      <c r="L81" s="66">
        <f t="shared" si="7"/>
        <v>0</v>
      </c>
      <c r="M81" s="66"/>
      <c r="N81" s="307">
        <f t="shared" si="8"/>
        <v>0</v>
      </c>
      <c r="P81" s="287" t="s">
        <v>764</v>
      </c>
      <c r="Q81" s="73" t="s">
        <v>1601</v>
      </c>
      <c r="R81" s="66">
        <v>1</v>
      </c>
      <c r="S81" s="66" t="s">
        <v>773</v>
      </c>
      <c r="T81" s="74"/>
      <c r="U81" s="299">
        <f t="shared" si="9"/>
        <v>0</v>
      </c>
    </row>
    <row r="82" spans="3:22">
      <c r="C82" s="358">
        <v>81</v>
      </c>
      <c r="D82" s="304" t="s">
        <v>763</v>
      </c>
      <c r="E82" s="73" t="s">
        <v>1602</v>
      </c>
      <c r="F82" s="66">
        <v>1</v>
      </c>
      <c r="G82" s="66" t="s">
        <v>773</v>
      </c>
      <c r="H82" s="74"/>
      <c r="I82" s="299">
        <f t="shared" si="5"/>
        <v>0</v>
      </c>
      <c r="K82" s="66">
        <f t="shared" si="6"/>
        <v>0</v>
      </c>
      <c r="L82" s="66">
        <f t="shared" si="7"/>
        <v>0</v>
      </c>
      <c r="M82" s="66"/>
      <c r="N82" s="307">
        <f t="shared" si="8"/>
        <v>0</v>
      </c>
      <c r="P82" s="287" t="s">
        <v>763</v>
      </c>
      <c r="Q82" s="73" t="s">
        <v>1602</v>
      </c>
      <c r="R82" s="66">
        <v>1</v>
      </c>
      <c r="S82" s="66" t="s">
        <v>773</v>
      </c>
      <c r="T82" s="74"/>
      <c r="U82" s="299">
        <f t="shared" si="9"/>
        <v>0</v>
      </c>
      <c r="V82" s="161"/>
    </row>
    <row r="83" spans="3:22">
      <c r="C83" s="358">
        <v>82</v>
      </c>
      <c r="D83" s="304" t="s">
        <v>762</v>
      </c>
      <c r="E83" s="73" t="s">
        <v>1587</v>
      </c>
      <c r="F83" s="66">
        <v>1</v>
      </c>
      <c r="G83" s="66" t="s">
        <v>773</v>
      </c>
      <c r="H83" s="74"/>
      <c r="I83" s="299">
        <f t="shared" si="5"/>
        <v>0</v>
      </c>
      <c r="K83" s="66">
        <f t="shared" si="6"/>
        <v>0</v>
      </c>
      <c r="L83" s="66">
        <f t="shared" si="7"/>
        <v>0</v>
      </c>
      <c r="M83" s="66"/>
      <c r="N83" s="307">
        <f t="shared" si="8"/>
        <v>0</v>
      </c>
      <c r="P83" s="287" t="s">
        <v>762</v>
      </c>
      <c r="Q83" s="73" t="s">
        <v>1587</v>
      </c>
      <c r="R83" s="66">
        <v>1</v>
      </c>
      <c r="S83" s="66" t="s">
        <v>773</v>
      </c>
      <c r="T83" s="74"/>
      <c r="U83" s="299">
        <f t="shared" si="9"/>
        <v>0</v>
      </c>
      <c r="V83" s="161"/>
    </row>
    <row r="84" spans="3:22">
      <c r="C84" s="358">
        <v>83</v>
      </c>
      <c r="D84" s="304" t="s">
        <v>760</v>
      </c>
      <c r="E84" s="73" t="s">
        <v>1599</v>
      </c>
      <c r="F84" s="66">
        <v>1</v>
      </c>
      <c r="G84" s="66" t="s">
        <v>773</v>
      </c>
      <c r="H84" s="74"/>
      <c r="I84" s="299">
        <f t="shared" si="5"/>
        <v>0</v>
      </c>
      <c r="K84" s="66">
        <f t="shared" si="6"/>
        <v>0</v>
      </c>
      <c r="L84" s="66">
        <f t="shared" si="7"/>
        <v>0</v>
      </c>
      <c r="M84" s="66"/>
      <c r="N84" s="307">
        <f t="shared" si="8"/>
        <v>0</v>
      </c>
      <c r="P84" s="287" t="s">
        <v>760</v>
      </c>
      <c r="Q84" s="73" t="s">
        <v>1599</v>
      </c>
      <c r="R84" s="66">
        <v>1</v>
      </c>
      <c r="S84" s="66" t="s">
        <v>773</v>
      </c>
      <c r="T84" s="74"/>
      <c r="U84" s="299">
        <f t="shared" si="9"/>
        <v>0</v>
      </c>
      <c r="V84" s="161"/>
    </row>
    <row r="85" spans="3:22">
      <c r="C85" s="358">
        <v>84</v>
      </c>
      <c r="D85" s="305" t="s">
        <v>765</v>
      </c>
      <c r="E85" s="73" t="s">
        <v>1600</v>
      </c>
      <c r="F85" s="66">
        <v>1</v>
      </c>
      <c r="G85" s="66" t="s">
        <v>773</v>
      </c>
      <c r="H85" s="74"/>
      <c r="I85" s="299">
        <f t="shared" si="5"/>
        <v>0</v>
      </c>
      <c r="K85" s="66">
        <f t="shared" si="6"/>
        <v>0</v>
      </c>
      <c r="L85" s="66">
        <f t="shared" si="7"/>
        <v>0</v>
      </c>
      <c r="M85" s="66"/>
      <c r="N85" s="307">
        <f t="shared" si="8"/>
        <v>0</v>
      </c>
      <c r="P85" s="288" t="s">
        <v>765</v>
      </c>
      <c r="Q85" s="73" t="s">
        <v>1600</v>
      </c>
      <c r="R85" s="66">
        <v>1</v>
      </c>
      <c r="S85" s="66" t="s">
        <v>773</v>
      </c>
      <c r="T85" s="74"/>
      <c r="U85" s="299">
        <f t="shared" si="9"/>
        <v>0</v>
      </c>
      <c r="V85" s="161"/>
    </row>
    <row r="86" spans="3:22">
      <c r="C86" s="358">
        <v>85</v>
      </c>
      <c r="D86" s="301" t="s">
        <v>418</v>
      </c>
      <c r="E86" s="139" t="s">
        <v>419</v>
      </c>
      <c r="F86" s="66">
        <v>2</v>
      </c>
      <c r="G86" s="66" t="s">
        <v>770</v>
      </c>
      <c r="H86" s="74" t="s">
        <v>772</v>
      </c>
      <c r="I86" s="299">
        <f t="shared" si="5"/>
        <v>1</v>
      </c>
      <c r="K86" s="66">
        <f t="shared" si="6"/>
        <v>0</v>
      </c>
      <c r="L86" s="66">
        <f t="shared" si="7"/>
        <v>0</v>
      </c>
      <c r="M86" s="66"/>
      <c r="N86" s="307">
        <f t="shared" si="8"/>
        <v>0</v>
      </c>
      <c r="P86" s="284" t="s">
        <v>418</v>
      </c>
      <c r="Q86" s="139" t="s">
        <v>1792</v>
      </c>
      <c r="R86" s="66">
        <v>2</v>
      </c>
      <c r="S86" s="66" t="s">
        <v>770</v>
      </c>
      <c r="T86" s="74" t="s">
        <v>772</v>
      </c>
      <c r="U86" s="299">
        <f t="shared" si="9"/>
        <v>1</v>
      </c>
      <c r="V86" s="161"/>
    </row>
    <row r="87" spans="3:22">
      <c r="C87" s="358">
        <v>86</v>
      </c>
      <c r="D87" s="301" t="s">
        <v>564</v>
      </c>
      <c r="E87" s="139" t="s">
        <v>565</v>
      </c>
      <c r="F87" s="66">
        <v>1</v>
      </c>
      <c r="G87" s="66" t="s">
        <v>773</v>
      </c>
      <c r="H87" s="74" t="s">
        <v>771</v>
      </c>
      <c r="I87" s="299">
        <f t="shared" si="5"/>
        <v>0</v>
      </c>
      <c r="K87" s="66">
        <f t="shared" si="6"/>
        <v>0</v>
      </c>
      <c r="L87" s="66">
        <f t="shared" si="7"/>
        <v>0</v>
      </c>
      <c r="M87" s="66"/>
      <c r="N87" s="307">
        <f t="shared" si="8"/>
        <v>0</v>
      </c>
      <c r="P87" s="284" t="s">
        <v>564</v>
      </c>
      <c r="Q87" s="139" t="s">
        <v>1864</v>
      </c>
      <c r="R87" s="66">
        <v>1</v>
      </c>
      <c r="S87" s="66" t="s">
        <v>773</v>
      </c>
      <c r="T87" s="74" t="s">
        <v>771</v>
      </c>
      <c r="U87" s="299">
        <f t="shared" si="9"/>
        <v>0</v>
      </c>
      <c r="V87" s="161"/>
    </row>
    <row r="88" spans="3:22">
      <c r="C88" s="358">
        <v>87</v>
      </c>
      <c r="D88" s="301" t="s">
        <v>222</v>
      </c>
      <c r="E88" s="139" t="s">
        <v>801</v>
      </c>
      <c r="F88" s="66">
        <v>1</v>
      </c>
      <c r="G88" s="66" t="s">
        <v>773</v>
      </c>
      <c r="H88" s="74" t="s">
        <v>771</v>
      </c>
      <c r="I88" s="299">
        <f t="shared" si="5"/>
        <v>0</v>
      </c>
      <c r="K88" s="66">
        <f t="shared" si="6"/>
        <v>0</v>
      </c>
      <c r="L88" s="66">
        <f t="shared" si="7"/>
        <v>0</v>
      </c>
      <c r="M88" s="66"/>
      <c r="N88" s="307">
        <f t="shared" si="8"/>
        <v>0</v>
      </c>
      <c r="P88" s="284" t="s">
        <v>222</v>
      </c>
      <c r="Q88" s="139" t="s">
        <v>1690</v>
      </c>
      <c r="R88" s="66">
        <v>1</v>
      </c>
      <c r="S88" s="66" t="s">
        <v>773</v>
      </c>
      <c r="T88" s="74" t="s">
        <v>771</v>
      </c>
      <c r="U88" s="299">
        <f t="shared" si="9"/>
        <v>0</v>
      </c>
      <c r="V88" s="161"/>
    </row>
    <row r="89" spans="3:22">
      <c r="C89" s="358">
        <v>88</v>
      </c>
      <c r="D89" s="301" t="s">
        <v>632</v>
      </c>
      <c r="E89" s="139" t="s">
        <v>804</v>
      </c>
      <c r="F89" s="66">
        <v>2</v>
      </c>
      <c r="G89" s="66" t="s">
        <v>770</v>
      </c>
      <c r="H89" s="74" t="s">
        <v>772</v>
      </c>
      <c r="I89" s="299">
        <f t="shared" si="5"/>
        <v>1</v>
      </c>
      <c r="K89" s="66">
        <f t="shared" si="6"/>
        <v>0</v>
      </c>
      <c r="L89" s="66">
        <f t="shared" si="7"/>
        <v>0</v>
      </c>
      <c r="M89" s="66"/>
      <c r="N89" s="307">
        <f t="shared" si="8"/>
        <v>0</v>
      </c>
      <c r="P89" s="284" t="s">
        <v>632</v>
      </c>
      <c r="Q89" s="139" t="s">
        <v>1899</v>
      </c>
      <c r="R89" s="66">
        <v>2</v>
      </c>
      <c r="S89" s="66" t="s">
        <v>770</v>
      </c>
      <c r="T89" s="74" t="s">
        <v>772</v>
      </c>
      <c r="U89" s="299">
        <f t="shared" si="9"/>
        <v>1</v>
      </c>
      <c r="V89" s="161"/>
    </row>
    <row r="90" spans="3:22">
      <c r="C90" s="358">
        <v>89</v>
      </c>
      <c r="D90" s="301" t="s">
        <v>340</v>
      </c>
      <c r="E90" s="139" t="s">
        <v>341</v>
      </c>
      <c r="F90" s="66">
        <v>1</v>
      </c>
      <c r="G90" s="66" t="s">
        <v>773</v>
      </c>
      <c r="H90" s="74" t="s">
        <v>771</v>
      </c>
      <c r="I90" s="299">
        <f t="shared" si="5"/>
        <v>0</v>
      </c>
      <c r="K90" s="66">
        <f t="shared" si="6"/>
        <v>0</v>
      </c>
      <c r="L90" s="66">
        <f t="shared" si="7"/>
        <v>0</v>
      </c>
      <c r="M90" s="66"/>
      <c r="N90" s="307">
        <f t="shared" si="8"/>
        <v>0</v>
      </c>
      <c r="P90" s="284" t="s">
        <v>340</v>
      </c>
      <c r="Q90" s="139" t="s">
        <v>1750</v>
      </c>
      <c r="R90" s="66">
        <v>1</v>
      </c>
      <c r="S90" s="66" t="s">
        <v>773</v>
      </c>
      <c r="T90" s="74" t="s">
        <v>771</v>
      </c>
      <c r="U90" s="299">
        <f t="shared" si="9"/>
        <v>0</v>
      </c>
      <c r="V90" s="161"/>
    </row>
    <row r="91" spans="3:22">
      <c r="C91" s="358">
        <v>90</v>
      </c>
      <c r="D91" s="301" t="s">
        <v>673</v>
      </c>
      <c r="E91" s="139" t="s">
        <v>674</v>
      </c>
      <c r="F91" s="66">
        <v>1</v>
      </c>
      <c r="G91" s="66" t="s">
        <v>773</v>
      </c>
      <c r="H91" s="74" t="s">
        <v>771</v>
      </c>
      <c r="I91" s="299">
        <f t="shared" si="5"/>
        <v>0</v>
      </c>
      <c r="K91" s="66">
        <f t="shared" si="6"/>
        <v>0</v>
      </c>
      <c r="L91" s="66">
        <f t="shared" si="7"/>
        <v>0</v>
      </c>
      <c r="M91" s="66"/>
      <c r="N91" s="307">
        <f t="shared" si="8"/>
        <v>0</v>
      </c>
      <c r="P91" s="284" t="s">
        <v>673</v>
      </c>
      <c r="Q91" s="139" t="s">
        <v>1922</v>
      </c>
      <c r="R91" s="66">
        <v>1</v>
      </c>
      <c r="S91" s="66" t="s">
        <v>773</v>
      </c>
      <c r="T91" s="74" t="s">
        <v>771</v>
      </c>
      <c r="U91" s="299">
        <f t="shared" si="9"/>
        <v>0</v>
      </c>
      <c r="V91" s="161"/>
    </row>
    <row r="92" spans="3:22">
      <c r="C92" s="358">
        <v>91</v>
      </c>
      <c r="D92" s="301" t="s">
        <v>533</v>
      </c>
      <c r="E92" s="139" t="s">
        <v>534</v>
      </c>
      <c r="F92" s="66">
        <v>1</v>
      </c>
      <c r="G92" s="66" t="s">
        <v>773</v>
      </c>
      <c r="H92" s="74" t="s">
        <v>771</v>
      </c>
      <c r="I92" s="299">
        <f t="shared" si="5"/>
        <v>0</v>
      </c>
      <c r="K92" s="66">
        <f t="shared" si="6"/>
        <v>0</v>
      </c>
      <c r="L92" s="66">
        <f t="shared" si="7"/>
        <v>0</v>
      </c>
      <c r="M92" s="66"/>
      <c r="N92" s="307">
        <f t="shared" si="8"/>
        <v>0</v>
      </c>
      <c r="P92" s="284" t="s">
        <v>533</v>
      </c>
      <c r="Q92" s="139" t="s">
        <v>1848</v>
      </c>
      <c r="R92" s="66">
        <v>1</v>
      </c>
      <c r="S92" s="66" t="s">
        <v>773</v>
      </c>
      <c r="T92" s="74" t="s">
        <v>771</v>
      </c>
      <c r="U92" s="299">
        <f t="shared" si="9"/>
        <v>0</v>
      </c>
      <c r="V92" s="161"/>
    </row>
    <row r="93" spans="3:22">
      <c r="C93" s="358">
        <v>92</v>
      </c>
      <c r="D93" s="301" t="s">
        <v>183</v>
      </c>
      <c r="E93" s="139" t="s">
        <v>184</v>
      </c>
      <c r="F93" s="66">
        <v>2</v>
      </c>
      <c r="G93" s="66" t="s">
        <v>773</v>
      </c>
      <c r="H93" s="74" t="s">
        <v>771</v>
      </c>
      <c r="I93" s="299">
        <f t="shared" si="5"/>
        <v>0</v>
      </c>
      <c r="K93" s="66">
        <f t="shared" si="6"/>
        <v>0</v>
      </c>
      <c r="L93" s="66">
        <f t="shared" si="7"/>
        <v>0</v>
      </c>
      <c r="M93" s="66"/>
      <c r="N93" s="307">
        <f t="shared" si="8"/>
        <v>0</v>
      </c>
      <c r="P93" s="284" t="s">
        <v>183</v>
      </c>
      <c r="Q93" s="139" t="s">
        <v>1669</v>
      </c>
      <c r="R93" s="66">
        <v>2</v>
      </c>
      <c r="S93" s="66" t="s">
        <v>773</v>
      </c>
      <c r="T93" s="74" t="s">
        <v>771</v>
      </c>
      <c r="U93" s="299">
        <f t="shared" si="9"/>
        <v>0</v>
      </c>
      <c r="V93" s="45"/>
    </row>
    <row r="94" spans="3:22">
      <c r="C94" s="358">
        <v>93</v>
      </c>
      <c r="D94" s="301" t="s">
        <v>525</v>
      </c>
      <c r="E94" s="139" t="s">
        <v>526</v>
      </c>
      <c r="F94" s="66">
        <v>1</v>
      </c>
      <c r="G94" s="66" t="s">
        <v>773</v>
      </c>
      <c r="H94" s="74" t="s">
        <v>771</v>
      </c>
      <c r="I94" s="299">
        <f t="shared" si="5"/>
        <v>0</v>
      </c>
      <c r="K94" s="66">
        <f t="shared" si="6"/>
        <v>0</v>
      </c>
      <c r="L94" s="66">
        <f t="shared" si="7"/>
        <v>0</v>
      </c>
      <c r="M94" s="66"/>
      <c r="N94" s="307">
        <f t="shared" si="8"/>
        <v>0</v>
      </c>
      <c r="P94" s="284" t="s">
        <v>525</v>
      </c>
      <c r="Q94" s="139" t="s">
        <v>1844</v>
      </c>
      <c r="R94" s="66">
        <v>1</v>
      </c>
      <c r="S94" s="66" t="s">
        <v>773</v>
      </c>
      <c r="T94" s="74" t="s">
        <v>771</v>
      </c>
      <c r="U94" s="299">
        <f t="shared" si="9"/>
        <v>0</v>
      </c>
      <c r="V94" s="161"/>
    </row>
    <row r="95" spans="3:22">
      <c r="C95" s="358">
        <v>94</v>
      </c>
      <c r="D95" s="301" t="s">
        <v>606</v>
      </c>
      <c r="E95" s="139" t="s">
        <v>607</v>
      </c>
      <c r="F95" s="66">
        <v>2</v>
      </c>
      <c r="G95" s="66" t="s">
        <v>770</v>
      </c>
      <c r="H95" s="74" t="s">
        <v>771</v>
      </c>
      <c r="I95" s="299">
        <f t="shared" si="5"/>
        <v>1</v>
      </c>
      <c r="K95" s="66">
        <f t="shared" si="6"/>
        <v>0</v>
      </c>
      <c r="L95" s="66">
        <f t="shared" si="7"/>
        <v>0</v>
      </c>
      <c r="M95" s="66"/>
      <c r="N95" s="307">
        <f t="shared" si="8"/>
        <v>0</v>
      </c>
      <c r="P95" s="284" t="s">
        <v>606</v>
      </c>
      <c r="Q95" s="139" t="s">
        <v>1885</v>
      </c>
      <c r="R95" s="66">
        <v>2</v>
      </c>
      <c r="S95" s="66" t="s">
        <v>770</v>
      </c>
      <c r="T95" s="74" t="s">
        <v>771</v>
      </c>
      <c r="U95" s="299">
        <f t="shared" si="9"/>
        <v>1</v>
      </c>
      <c r="V95" s="161"/>
    </row>
    <row r="96" spans="3:22">
      <c r="C96" s="358">
        <v>95</v>
      </c>
      <c r="D96" s="301" t="s">
        <v>697</v>
      </c>
      <c r="E96" s="139" t="s">
        <v>698</v>
      </c>
      <c r="F96" s="66">
        <v>2</v>
      </c>
      <c r="G96" s="66" t="s">
        <v>770</v>
      </c>
      <c r="H96" s="74" t="s">
        <v>771</v>
      </c>
      <c r="I96" s="299">
        <f t="shared" si="5"/>
        <v>1</v>
      </c>
      <c r="K96" s="66">
        <f t="shared" si="6"/>
        <v>0</v>
      </c>
      <c r="L96" s="66">
        <f t="shared" si="7"/>
        <v>0</v>
      </c>
      <c r="M96" s="66"/>
      <c r="N96" s="307">
        <f t="shared" si="8"/>
        <v>0</v>
      </c>
      <c r="P96" s="284" t="s">
        <v>697</v>
      </c>
      <c r="Q96" s="139" t="s">
        <v>1935</v>
      </c>
      <c r="R96" s="66">
        <v>2</v>
      </c>
      <c r="S96" s="66" t="s">
        <v>770</v>
      </c>
      <c r="T96" s="74" t="s">
        <v>771</v>
      </c>
      <c r="U96" s="299">
        <f t="shared" si="9"/>
        <v>1</v>
      </c>
      <c r="V96" s="161"/>
    </row>
    <row r="97" spans="3:22">
      <c r="C97" s="358">
        <v>96</v>
      </c>
      <c r="D97" s="301" t="s">
        <v>404</v>
      </c>
      <c r="E97" s="139" t="s">
        <v>405</v>
      </c>
      <c r="F97" s="66">
        <v>2</v>
      </c>
      <c r="G97" s="289" t="s">
        <v>770</v>
      </c>
      <c r="H97" s="74" t="s">
        <v>771</v>
      </c>
      <c r="I97" s="299">
        <f t="shared" si="5"/>
        <v>1</v>
      </c>
      <c r="K97" s="66">
        <f t="shared" si="6"/>
        <v>0</v>
      </c>
      <c r="L97" s="66">
        <f t="shared" si="7"/>
        <v>0</v>
      </c>
      <c r="M97" s="66"/>
      <c r="N97" s="307">
        <f t="shared" si="8"/>
        <v>0</v>
      </c>
      <c r="P97" s="284" t="s">
        <v>404</v>
      </c>
      <c r="Q97" s="139" t="s">
        <v>1785</v>
      </c>
      <c r="R97" s="66">
        <v>2</v>
      </c>
      <c r="S97" s="289" t="s">
        <v>770</v>
      </c>
      <c r="T97" s="74" t="s">
        <v>771</v>
      </c>
      <c r="U97" s="299">
        <f t="shared" si="9"/>
        <v>1</v>
      </c>
      <c r="V97" s="161"/>
    </row>
    <row r="98" spans="3:22">
      <c r="C98" s="358">
        <v>97</v>
      </c>
      <c r="D98" s="301" t="s">
        <v>410</v>
      </c>
      <c r="E98" s="139" t="s">
        <v>411</v>
      </c>
      <c r="F98" s="611">
        <v>1</v>
      </c>
      <c r="G98" s="66" t="s">
        <v>773</v>
      </c>
      <c r="H98" s="74" t="s">
        <v>771</v>
      </c>
      <c r="I98" s="299">
        <f t="shared" si="5"/>
        <v>0</v>
      </c>
      <c r="K98" s="66">
        <f t="shared" si="6"/>
        <v>0</v>
      </c>
      <c r="L98" s="66">
        <f t="shared" si="7"/>
        <v>0</v>
      </c>
      <c r="M98" s="66"/>
      <c r="N98" s="307">
        <f t="shared" si="8"/>
        <v>0</v>
      </c>
      <c r="P98" s="284" t="s">
        <v>410</v>
      </c>
      <c r="Q98" s="139" t="s">
        <v>1788</v>
      </c>
      <c r="R98" s="611">
        <v>1</v>
      </c>
      <c r="S98" s="66" t="s">
        <v>773</v>
      </c>
      <c r="T98" s="74" t="s">
        <v>771</v>
      </c>
      <c r="U98" s="299">
        <f t="shared" si="9"/>
        <v>0</v>
      </c>
      <c r="V98" s="161"/>
    </row>
    <row r="99" spans="3:22">
      <c r="C99" s="358">
        <v>98</v>
      </c>
      <c r="D99" s="301" t="s">
        <v>295</v>
      </c>
      <c r="E99" s="139" t="s">
        <v>296</v>
      </c>
      <c r="F99" s="66">
        <v>2</v>
      </c>
      <c r="G99" s="66" t="s">
        <v>773</v>
      </c>
      <c r="H99" s="74" t="s">
        <v>771</v>
      </c>
      <c r="I99" s="299">
        <f t="shared" si="5"/>
        <v>0</v>
      </c>
      <c r="K99" s="66">
        <f t="shared" si="6"/>
        <v>0</v>
      </c>
      <c r="L99" s="66">
        <f t="shared" si="7"/>
        <v>0</v>
      </c>
      <c r="M99" s="66"/>
      <c r="N99" s="307">
        <f t="shared" si="8"/>
        <v>0</v>
      </c>
      <c r="P99" s="284" t="s">
        <v>295</v>
      </c>
      <c r="Q99" s="139" t="s">
        <v>1727</v>
      </c>
      <c r="R99" s="66">
        <v>2</v>
      </c>
      <c r="S99" s="66" t="s">
        <v>773</v>
      </c>
      <c r="T99" s="74" t="s">
        <v>771</v>
      </c>
      <c r="U99" s="299">
        <f t="shared" si="9"/>
        <v>0</v>
      </c>
      <c r="V99" s="161"/>
    </row>
    <row r="100" spans="3:22">
      <c r="C100" s="358">
        <v>99</v>
      </c>
      <c r="D100" s="301" t="s">
        <v>722</v>
      </c>
      <c r="E100" s="139" t="s">
        <v>723</v>
      </c>
      <c r="F100" s="66">
        <v>1</v>
      </c>
      <c r="G100" s="66" t="s">
        <v>773</v>
      </c>
      <c r="H100" s="74" t="s">
        <v>771</v>
      </c>
      <c r="I100" s="299">
        <f t="shared" si="5"/>
        <v>0</v>
      </c>
      <c r="K100" s="66">
        <f t="shared" si="6"/>
        <v>0</v>
      </c>
      <c r="L100" s="66">
        <f t="shared" si="7"/>
        <v>0</v>
      </c>
      <c r="M100" s="66"/>
      <c r="N100" s="307">
        <f t="shared" si="8"/>
        <v>0</v>
      </c>
      <c r="P100" s="284" t="s">
        <v>722</v>
      </c>
      <c r="Q100" s="139" t="s">
        <v>1948</v>
      </c>
      <c r="R100" s="66">
        <v>1</v>
      </c>
      <c r="S100" s="66" t="s">
        <v>773</v>
      </c>
      <c r="T100" s="74" t="s">
        <v>771</v>
      </c>
      <c r="U100" s="299">
        <f t="shared" si="9"/>
        <v>0</v>
      </c>
      <c r="V100" s="161"/>
    </row>
    <row r="101" spans="3:22">
      <c r="C101" s="358">
        <v>100</v>
      </c>
      <c r="D101" s="301" t="s">
        <v>730</v>
      </c>
      <c r="E101" s="139" t="s">
        <v>731</v>
      </c>
      <c r="F101" s="66">
        <v>2</v>
      </c>
      <c r="G101" s="66" t="s">
        <v>773</v>
      </c>
      <c r="H101" s="74" t="s">
        <v>771</v>
      </c>
      <c r="I101" s="299">
        <f t="shared" si="5"/>
        <v>0</v>
      </c>
      <c r="K101" s="66">
        <f t="shared" si="6"/>
        <v>0</v>
      </c>
      <c r="L101" s="66">
        <f t="shared" si="7"/>
        <v>0</v>
      </c>
      <c r="M101" s="66"/>
      <c r="N101" s="307">
        <f t="shared" si="8"/>
        <v>0</v>
      </c>
      <c r="P101" s="284" t="s">
        <v>730</v>
      </c>
      <c r="Q101" s="139" t="s">
        <v>1952</v>
      </c>
      <c r="R101" s="66">
        <v>2</v>
      </c>
      <c r="S101" s="66" t="s">
        <v>773</v>
      </c>
      <c r="T101" s="74" t="s">
        <v>771</v>
      </c>
      <c r="U101" s="299">
        <f t="shared" si="9"/>
        <v>0</v>
      </c>
      <c r="V101" s="161"/>
    </row>
    <row r="102" spans="3:22">
      <c r="C102" s="358">
        <v>101</v>
      </c>
      <c r="D102" s="301" t="s">
        <v>588</v>
      </c>
      <c r="E102" s="139" t="s">
        <v>589</v>
      </c>
      <c r="F102" s="66">
        <v>1</v>
      </c>
      <c r="G102" s="66" t="s">
        <v>773</v>
      </c>
      <c r="H102" s="74" t="s">
        <v>771</v>
      </c>
      <c r="I102" s="299">
        <f t="shared" si="5"/>
        <v>0</v>
      </c>
      <c r="K102" s="66">
        <f t="shared" si="6"/>
        <v>0</v>
      </c>
      <c r="L102" s="66">
        <f t="shared" si="7"/>
        <v>0</v>
      </c>
      <c r="M102" s="66"/>
      <c r="N102" s="307">
        <f t="shared" si="8"/>
        <v>0</v>
      </c>
      <c r="P102" s="284" t="s">
        <v>588</v>
      </c>
      <c r="Q102" s="139" t="s">
        <v>1876</v>
      </c>
      <c r="R102" s="66">
        <v>1</v>
      </c>
      <c r="S102" s="66" t="s">
        <v>773</v>
      </c>
      <c r="T102" s="74" t="s">
        <v>771</v>
      </c>
      <c r="U102" s="299">
        <f t="shared" si="9"/>
        <v>0</v>
      </c>
      <c r="V102" s="161"/>
    </row>
    <row r="103" spans="3:22">
      <c r="C103" s="358">
        <v>102</v>
      </c>
      <c r="D103" s="301" t="s">
        <v>460</v>
      </c>
      <c r="E103" s="139" t="s">
        <v>461</v>
      </c>
      <c r="F103" s="66">
        <v>2</v>
      </c>
      <c r="G103" s="66" t="s">
        <v>770</v>
      </c>
      <c r="H103" s="74" t="s">
        <v>772</v>
      </c>
      <c r="I103" s="299">
        <f t="shared" si="5"/>
        <v>1</v>
      </c>
      <c r="K103" s="66">
        <f t="shared" si="6"/>
        <v>0</v>
      </c>
      <c r="L103" s="66">
        <f t="shared" si="7"/>
        <v>0</v>
      </c>
      <c r="M103" s="66"/>
      <c r="N103" s="307">
        <f t="shared" si="8"/>
        <v>0</v>
      </c>
      <c r="P103" s="284" t="s">
        <v>460</v>
      </c>
      <c r="Q103" s="139" t="s">
        <v>1813</v>
      </c>
      <c r="R103" s="66">
        <v>2</v>
      </c>
      <c r="S103" s="66" t="s">
        <v>770</v>
      </c>
      <c r="T103" s="74" t="s">
        <v>772</v>
      </c>
      <c r="U103" s="299">
        <f t="shared" si="9"/>
        <v>1</v>
      </c>
      <c r="V103" s="161"/>
    </row>
    <row r="104" spans="3:22">
      <c r="C104" s="358">
        <v>103</v>
      </c>
      <c r="D104" s="301" t="s">
        <v>596</v>
      </c>
      <c r="E104" s="139" t="s">
        <v>597</v>
      </c>
      <c r="F104" s="66">
        <v>2</v>
      </c>
      <c r="G104" s="66" t="s">
        <v>770</v>
      </c>
      <c r="H104" s="74" t="s">
        <v>772</v>
      </c>
      <c r="I104" s="299">
        <f t="shared" si="5"/>
        <v>1</v>
      </c>
      <c r="K104" s="66">
        <f t="shared" si="6"/>
        <v>0</v>
      </c>
      <c r="L104" s="66">
        <f t="shared" si="7"/>
        <v>0</v>
      </c>
      <c r="M104" s="66"/>
      <c r="N104" s="307">
        <f t="shared" si="8"/>
        <v>0</v>
      </c>
      <c r="P104" s="284" t="s">
        <v>596</v>
      </c>
      <c r="Q104" s="139" t="s">
        <v>1880</v>
      </c>
      <c r="R104" s="66">
        <v>2</v>
      </c>
      <c r="S104" s="66" t="s">
        <v>770</v>
      </c>
      <c r="T104" s="74" t="s">
        <v>772</v>
      </c>
      <c r="U104" s="299">
        <f t="shared" si="9"/>
        <v>1</v>
      </c>
      <c r="V104" s="161"/>
    </row>
    <row r="105" spans="3:22">
      <c r="C105" s="358">
        <v>104</v>
      </c>
      <c r="D105" s="301" t="s">
        <v>218</v>
      </c>
      <c r="E105" s="139" t="s">
        <v>219</v>
      </c>
      <c r="F105" s="66">
        <v>2</v>
      </c>
      <c r="G105" s="66" t="s">
        <v>770</v>
      </c>
      <c r="H105" s="74" t="s">
        <v>772</v>
      </c>
      <c r="I105" s="299">
        <f t="shared" si="5"/>
        <v>1</v>
      </c>
      <c r="K105" s="66">
        <f t="shared" si="6"/>
        <v>0</v>
      </c>
      <c r="L105" s="66">
        <f t="shared" si="7"/>
        <v>0</v>
      </c>
      <c r="M105" s="66"/>
      <c r="N105" s="307">
        <f t="shared" si="8"/>
        <v>0</v>
      </c>
      <c r="P105" s="284" t="s">
        <v>218</v>
      </c>
      <c r="Q105" s="139" t="s">
        <v>1688</v>
      </c>
      <c r="R105" s="66">
        <v>2</v>
      </c>
      <c r="S105" s="66" t="s">
        <v>770</v>
      </c>
      <c r="T105" s="74" t="s">
        <v>772</v>
      </c>
      <c r="U105" s="299">
        <f t="shared" si="9"/>
        <v>1</v>
      </c>
      <c r="V105" s="161"/>
    </row>
    <row r="106" spans="3:22">
      <c r="C106" s="358">
        <v>105</v>
      </c>
      <c r="D106" s="301" t="s">
        <v>650</v>
      </c>
      <c r="E106" s="139" t="s">
        <v>651</v>
      </c>
      <c r="F106" s="66">
        <v>2</v>
      </c>
      <c r="G106" s="66" t="s">
        <v>770</v>
      </c>
      <c r="H106" s="74" t="s">
        <v>772</v>
      </c>
      <c r="I106" s="299">
        <f t="shared" si="5"/>
        <v>1</v>
      </c>
      <c r="K106" s="66">
        <f t="shared" si="6"/>
        <v>0</v>
      </c>
      <c r="L106" s="66">
        <f t="shared" si="7"/>
        <v>0</v>
      </c>
      <c r="M106" s="66"/>
      <c r="N106" s="307">
        <f t="shared" si="8"/>
        <v>0</v>
      </c>
      <c r="P106" s="284" t="s">
        <v>650</v>
      </c>
      <c r="Q106" s="139" t="s">
        <v>1909</v>
      </c>
      <c r="R106" s="66">
        <v>2</v>
      </c>
      <c r="S106" s="66" t="s">
        <v>770</v>
      </c>
      <c r="T106" s="74" t="s">
        <v>772</v>
      </c>
      <c r="U106" s="299">
        <f t="shared" si="9"/>
        <v>1</v>
      </c>
      <c r="V106" s="161"/>
    </row>
    <row r="107" spans="3:22">
      <c r="C107" s="358">
        <v>106</v>
      </c>
      <c r="D107" s="301" t="s">
        <v>454</v>
      </c>
      <c r="E107" s="139" t="s">
        <v>455</v>
      </c>
      <c r="F107" s="66">
        <v>2</v>
      </c>
      <c r="G107" s="66" t="s">
        <v>770</v>
      </c>
      <c r="H107" s="74" t="s">
        <v>771</v>
      </c>
      <c r="I107" s="299">
        <f t="shared" si="5"/>
        <v>1</v>
      </c>
      <c r="K107" s="66">
        <f t="shared" si="6"/>
        <v>0</v>
      </c>
      <c r="L107" s="66">
        <f t="shared" si="7"/>
        <v>0</v>
      </c>
      <c r="M107" s="66"/>
      <c r="N107" s="307">
        <f t="shared" si="8"/>
        <v>0</v>
      </c>
      <c r="P107" s="284" t="s">
        <v>454</v>
      </c>
      <c r="Q107" s="139" t="s">
        <v>1810</v>
      </c>
      <c r="R107" s="66">
        <v>2</v>
      </c>
      <c r="S107" s="66" t="s">
        <v>770</v>
      </c>
      <c r="T107" s="74" t="s">
        <v>771</v>
      </c>
      <c r="U107" s="299">
        <f t="shared" si="9"/>
        <v>1</v>
      </c>
      <c r="V107" s="161"/>
    </row>
    <row r="108" spans="3:22">
      <c r="C108" s="358">
        <v>107</v>
      </c>
      <c r="D108" s="301" t="s">
        <v>728</v>
      </c>
      <c r="E108" s="139" t="s">
        <v>729</v>
      </c>
      <c r="F108" s="66">
        <v>2</v>
      </c>
      <c r="G108" s="66" t="s">
        <v>773</v>
      </c>
      <c r="H108" s="74" t="s">
        <v>771</v>
      </c>
      <c r="I108" s="299">
        <f t="shared" si="5"/>
        <v>0</v>
      </c>
      <c r="K108" s="66">
        <f t="shared" si="6"/>
        <v>0</v>
      </c>
      <c r="L108" s="66">
        <f t="shared" si="7"/>
        <v>0</v>
      </c>
      <c r="M108" s="66"/>
      <c r="N108" s="307">
        <f t="shared" si="8"/>
        <v>0</v>
      </c>
      <c r="P108" s="284" t="s">
        <v>728</v>
      </c>
      <c r="Q108" s="139" t="s">
        <v>1951</v>
      </c>
      <c r="R108" s="66">
        <v>2</v>
      </c>
      <c r="S108" s="66" t="s">
        <v>773</v>
      </c>
      <c r="T108" s="74" t="s">
        <v>771</v>
      </c>
      <c r="U108" s="299">
        <f t="shared" si="9"/>
        <v>0</v>
      </c>
      <c r="V108" s="161"/>
    </row>
    <row r="109" spans="3:22">
      <c r="C109" s="358">
        <v>108</v>
      </c>
      <c r="D109" s="301" t="s">
        <v>346</v>
      </c>
      <c r="E109" s="139" t="s">
        <v>347</v>
      </c>
      <c r="F109" s="66">
        <v>1</v>
      </c>
      <c r="G109" s="66" t="s">
        <v>773</v>
      </c>
      <c r="H109" s="74" t="s">
        <v>771</v>
      </c>
      <c r="I109" s="299">
        <f t="shared" si="5"/>
        <v>0</v>
      </c>
      <c r="K109" s="66">
        <f t="shared" si="6"/>
        <v>0</v>
      </c>
      <c r="L109" s="66">
        <f t="shared" si="7"/>
        <v>0</v>
      </c>
      <c r="M109" s="66"/>
      <c r="N109" s="307">
        <f t="shared" si="8"/>
        <v>0</v>
      </c>
      <c r="P109" s="284" t="s">
        <v>346</v>
      </c>
      <c r="Q109" s="139" t="s">
        <v>1753</v>
      </c>
      <c r="R109" s="66">
        <v>1</v>
      </c>
      <c r="S109" s="66" t="s">
        <v>773</v>
      </c>
      <c r="T109" s="74" t="s">
        <v>771</v>
      </c>
      <c r="U109" s="299">
        <f t="shared" si="9"/>
        <v>0</v>
      </c>
      <c r="V109" s="161"/>
    </row>
    <row r="110" spans="3:22">
      <c r="C110" s="358">
        <v>109</v>
      </c>
      <c r="D110" s="301" t="s">
        <v>215</v>
      </c>
      <c r="E110" s="139" t="s">
        <v>216</v>
      </c>
      <c r="F110" s="611">
        <v>1</v>
      </c>
      <c r="G110" s="66" t="s">
        <v>773</v>
      </c>
      <c r="H110" s="74" t="s">
        <v>771</v>
      </c>
      <c r="I110" s="299">
        <f t="shared" si="5"/>
        <v>0</v>
      </c>
      <c r="K110" s="66">
        <f t="shared" si="6"/>
        <v>0</v>
      </c>
      <c r="L110" s="66">
        <f t="shared" si="7"/>
        <v>0</v>
      </c>
      <c r="M110" s="66"/>
      <c r="N110" s="307">
        <f t="shared" si="8"/>
        <v>0</v>
      </c>
      <c r="P110" s="284" t="s">
        <v>215</v>
      </c>
      <c r="Q110" s="139" t="s">
        <v>1686</v>
      </c>
      <c r="R110" s="611">
        <v>1</v>
      </c>
      <c r="S110" s="66" t="s">
        <v>773</v>
      </c>
      <c r="T110" s="74" t="s">
        <v>771</v>
      </c>
      <c r="U110" s="299">
        <f t="shared" si="9"/>
        <v>0</v>
      </c>
      <c r="V110" s="161"/>
    </row>
    <row r="111" spans="3:22">
      <c r="C111" s="358">
        <v>110</v>
      </c>
      <c r="D111" s="301" t="s">
        <v>470</v>
      </c>
      <c r="E111" s="139" t="s">
        <v>471</v>
      </c>
      <c r="F111" s="66">
        <v>2</v>
      </c>
      <c r="G111" s="66" t="s">
        <v>770</v>
      </c>
      <c r="H111" s="74" t="s">
        <v>772</v>
      </c>
      <c r="I111" s="299">
        <f t="shared" si="5"/>
        <v>1</v>
      </c>
      <c r="K111" s="66">
        <f t="shared" si="6"/>
        <v>0</v>
      </c>
      <c r="L111" s="66">
        <f t="shared" si="7"/>
        <v>0</v>
      </c>
      <c r="M111" s="66"/>
      <c r="N111" s="307">
        <f t="shared" si="8"/>
        <v>0</v>
      </c>
      <c r="P111" s="284" t="s">
        <v>470</v>
      </c>
      <c r="Q111" s="139" t="s">
        <v>1818</v>
      </c>
      <c r="R111" s="66">
        <v>2</v>
      </c>
      <c r="S111" s="66" t="s">
        <v>770</v>
      </c>
      <c r="T111" s="74" t="s">
        <v>772</v>
      </c>
      <c r="U111" s="299">
        <f t="shared" si="9"/>
        <v>1</v>
      </c>
      <c r="V111" s="161"/>
    </row>
    <row r="112" spans="3:22">
      <c r="C112" s="358">
        <v>111</v>
      </c>
      <c r="D112" s="301" t="s">
        <v>299</v>
      </c>
      <c r="E112" s="139" t="s">
        <v>300</v>
      </c>
      <c r="F112" s="66">
        <v>2</v>
      </c>
      <c r="G112" s="66" t="s">
        <v>773</v>
      </c>
      <c r="H112" s="74" t="s">
        <v>771</v>
      </c>
      <c r="I112" s="299">
        <f t="shared" si="5"/>
        <v>0</v>
      </c>
      <c r="K112" s="66">
        <f t="shared" si="6"/>
        <v>0</v>
      </c>
      <c r="L112" s="66">
        <f t="shared" si="7"/>
        <v>0</v>
      </c>
      <c r="M112" s="66"/>
      <c r="N112" s="307">
        <f t="shared" si="8"/>
        <v>0</v>
      </c>
      <c r="P112" s="284" t="s">
        <v>299</v>
      </c>
      <c r="Q112" s="139" t="s">
        <v>1729</v>
      </c>
      <c r="R112" s="66">
        <v>2</v>
      </c>
      <c r="S112" s="66" t="s">
        <v>773</v>
      </c>
      <c r="T112" s="74" t="s">
        <v>771</v>
      </c>
      <c r="U112" s="299">
        <f t="shared" si="9"/>
        <v>0</v>
      </c>
      <c r="V112" s="161"/>
    </row>
    <row r="113" spans="3:22">
      <c r="C113" s="358">
        <v>112</v>
      </c>
      <c r="D113" s="306" t="s">
        <v>2303</v>
      </c>
      <c r="E113" s="295" t="s">
        <v>2302</v>
      </c>
      <c r="F113" s="66">
        <v>2</v>
      </c>
      <c r="G113" s="66" t="s">
        <v>773</v>
      </c>
      <c r="H113" s="74" t="s">
        <v>771</v>
      </c>
      <c r="I113" s="299">
        <f t="shared" si="5"/>
        <v>0</v>
      </c>
      <c r="K113" s="66">
        <f t="shared" si="6"/>
        <v>0</v>
      </c>
      <c r="L113" s="66">
        <f t="shared" si="7"/>
        <v>0</v>
      </c>
      <c r="M113" s="66"/>
      <c r="N113" s="307">
        <f t="shared" si="8"/>
        <v>0</v>
      </c>
      <c r="P113" s="290" t="s">
        <v>2303</v>
      </c>
      <c r="Q113" s="291" t="s">
        <v>2393</v>
      </c>
      <c r="R113" s="66">
        <v>2</v>
      </c>
      <c r="S113" s="66" t="s">
        <v>773</v>
      </c>
      <c r="T113" s="74" t="s">
        <v>771</v>
      </c>
      <c r="U113" s="299">
        <f t="shared" si="9"/>
        <v>0</v>
      </c>
      <c r="V113" s="161"/>
    </row>
    <row r="114" spans="3:22">
      <c r="C114" s="358">
        <v>113</v>
      </c>
      <c r="D114" s="302" t="s">
        <v>1634</v>
      </c>
      <c r="E114" s="73" t="s">
        <v>1633</v>
      </c>
      <c r="F114" s="66">
        <v>2</v>
      </c>
      <c r="G114" s="66" t="s">
        <v>773</v>
      </c>
      <c r="H114" s="74" t="s">
        <v>771</v>
      </c>
      <c r="I114" s="299">
        <f t="shared" si="5"/>
        <v>0</v>
      </c>
      <c r="K114" s="66">
        <f t="shared" si="6"/>
        <v>0</v>
      </c>
      <c r="L114" s="66">
        <f t="shared" si="7"/>
        <v>0</v>
      </c>
      <c r="M114" s="66"/>
      <c r="N114" s="307">
        <f t="shared" si="8"/>
        <v>0</v>
      </c>
      <c r="P114" s="172" t="s">
        <v>1634</v>
      </c>
      <c r="Q114" s="73" t="s">
        <v>1965</v>
      </c>
      <c r="R114" s="66">
        <v>2</v>
      </c>
      <c r="S114" s="66" t="s">
        <v>773</v>
      </c>
      <c r="T114" s="74" t="s">
        <v>771</v>
      </c>
      <c r="U114" s="299">
        <f t="shared" si="9"/>
        <v>0</v>
      </c>
      <c r="V114" s="161"/>
    </row>
    <row r="115" spans="3:22">
      <c r="C115" s="358">
        <v>114</v>
      </c>
      <c r="D115" s="307" t="s">
        <v>1509</v>
      </c>
      <c r="E115" s="73" t="s">
        <v>1589</v>
      </c>
      <c r="F115" s="66">
        <v>2</v>
      </c>
      <c r="G115" s="66" t="s">
        <v>773</v>
      </c>
      <c r="H115" s="74" t="s">
        <v>771</v>
      </c>
      <c r="I115" s="299">
        <f t="shared" si="5"/>
        <v>0</v>
      </c>
      <c r="K115" s="66">
        <f t="shared" si="6"/>
        <v>0</v>
      </c>
      <c r="L115" s="66">
        <f t="shared" si="7"/>
        <v>0</v>
      </c>
      <c r="M115" s="66"/>
      <c r="N115" s="307">
        <f t="shared" si="8"/>
        <v>0</v>
      </c>
      <c r="P115" s="292" t="s">
        <v>1509</v>
      </c>
      <c r="Q115" s="73" t="s">
        <v>1962</v>
      </c>
      <c r="R115" s="66">
        <v>2</v>
      </c>
      <c r="S115" s="66" t="s">
        <v>773</v>
      </c>
      <c r="T115" s="74" t="s">
        <v>771</v>
      </c>
      <c r="U115" s="299">
        <f t="shared" si="9"/>
        <v>0</v>
      </c>
      <c r="V115" s="161"/>
    </row>
    <row r="116" spans="3:22">
      <c r="C116" s="358">
        <v>115</v>
      </c>
      <c r="D116" s="302" t="s">
        <v>1576</v>
      </c>
      <c r="E116" s="73" t="s">
        <v>1590</v>
      </c>
      <c r="F116" s="66">
        <v>2</v>
      </c>
      <c r="G116" s="66" t="s">
        <v>773</v>
      </c>
      <c r="H116" s="74" t="s">
        <v>771</v>
      </c>
      <c r="I116" s="299">
        <f t="shared" si="5"/>
        <v>0</v>
      </c>
      <c r="K116" s="66">
        <f t="shared" si="6"/>
        <v>0</v>
      </c>
      <c r="L116" s="66">
        <f t="shared" si="7"/>
        <v>0</v>
      </c>
      <c r="M116" s="66"/>
      <c r="N116" s="307">
        <f t="shared" si="8"/>
        <v>0</v>
      </c>
      <c r="P116" s="172" t="s">
        <v>1576</v>
      </c>
      <c r="Q116" s="73" t="s">
        <v>1963</v>
      </c>
      <c r="R116" s="66">
        <v>2</v>
      </c>
      <c r="S116" s="66" t="s">
        <v>773</v>
      </c>
      <c r="T116" s="74" t="s">
        <v>771</v>
      </c>
      <c r="U116" s="299">
        <f t="shared" si="9"/>
        <v>0</v>
      </c>
      <c r="V116" s="161"/>
    </row>
    <row r="117" spans="3:22">
      <c r="C117" s="358">
        <v>116</v>
      </c>
      <c r="D117" s="301" t="s">
        <v>263</v>
      </c>
      <c r="E117" s="139" t="s">
        <v>264</v>
      </c>
      <c r="F117" s="66">
        <v>2</v>
      </c>
      <c r="G117" s="66" t="s">
        <v>770</v>
      </c>
      <c r="H117" s="74" t="s">
        <v>771</v>
      </c>
      <c r="I117" s="299">
        <f t="shared" si="5"/>
        <v>1</v>
      </c>
      <c r="K117" s="66">
        <f t="shared" si="6"/>
        <v>0</v>
      </c>
      <c r="L117" s="66">
        <f t="shared" si="7"/>
        <v>0</v>
      </c>
      <c r="M117" s="66"/>
      <c r="N117" s="307">
        <f t="shared" si="8"/>
        <v>0</v>
      </c>
      <c r="P117" s="284" t="s">
        <v>263</v>
      </c>
      <c r="Q117" s="139" t="s">
        <v>1711</v>
      </c>
      <c r="R117" s="66">
        <v>2</v>
      </c>
      <c r="S117" s="66" t="s">
        <v>770</v>
      </c>
      <c r="T117" s="74" t="s">
        <v>771</v>
      </c>
      <c r="U117" s="299">
        <f t="shared" si="9"/>
        <v>1</v>
      </c>
      <c r="V117" s="161"/>
    </row>
    <row r="118" spans="3:22">
      <c r="C118" s="358">
        <v>117</v>
      </c>
      <c r="D118" s="301" t="s">
        <v>576</v>
      </c>
      <c r="E118" s="139" t="s">
        <v>577</v>
      </c>
      <c r="F118" s="66">
        <v>2</v>
      </c>
      <c r="G118" s="66" t="s">
        <v>773</v>
      </c>
      <c r="H118" s="74" t="s">
        <v>772</v>
      </c>
      <c r="I118" s="299">
        <f t="shared" si="5"/>
        <v>0</v>
      </c>
      <c r="K118" s="66">
        <f t="shared" si="6"/>
        <v>0</v>
      </c>
      <c r="L118" s="66">
        <f t="shared" si="7"/>
        <v>0</v>
      </c>
      <c r="M118" s="66"/>
      <c r="N118" s="307">
        <f t="shared" si="8"/>
        <v>0</v>
      </c>
      <c r="P118" s="284" t="s">
        <v>576</v>
      </c>
      <c r="Q118" s="139" t="s">
        <v>1870</v>
      </c>
      <c r="R118" s="66">
        <v>2</v>
      </c>
      <c r="S118" s="66" t="s">
        <v>773</v>
      </c>
      <c r="T118" s="74" t="s">
        <v>772</v>
      </c>
      <c r="U118" s="299">
        <f t="shared" si="9"/>
        <v>0</v>
      </c>
      <c r="V118" s="161"/>
    </row>
    <row r="119" spans="3:22">
      <c r="C119" s="358">
        <v>118</v>
      </c>
      <c r="D119" s="311" t="s">
        <v>1378</v>
      </c>
      <c r="E119" s="600" t="s">
        <v>2626</v>
      </c>
      <c r="F119" s="66">
        <v>2</v>
      </c>
      <c r="G119" s="66" t="s">
        <v>773</v>
      </c>
      <c r="H119" s="74" t="s">
        <v>771</v>
      </c>
      <c r="I119" s="299">
        <f t="shared" si="5"/>
        <v>0</v>
      </c>
      <c r="K119" s="66">
        <f t="shared" si="6"/>
        <v>0</v>
      </c>
      <c r="L119" s="66">
        <f t="shared" si="7"/>
        <v>0</v>
      </c>
      <c r="M119" s="66"/>
      <c r="N119" s="307">
        <f t="shared" si="8"/>
        <v>0</v>
      </c>
      <c r="P119" s="296" t="s">
        <v>1378</v>
      </c>
      <c r="Q119" s="113" t="s">
        <v>2499</v>
      </c>
      <c r="R119" s="66">
        <v>2</v>
      </c>
      <c r="S119" s="66" t="s">
        <v>773</v>
      </c>
      <c r="T119" s="74" t="s">
        <v>771</v>
      </c>
      <c r="U119" s="299">
        <f t="shared" si="9"/>
        <v>0</v>
      </c>
      <c r="V119" s="161"/>
    </row>
    <row r="120" spans="3:22">
      <c r="C120" s="358">
        <v>119</v>
      </c>
      <c r="D120" s="301" t="s">
        <v>364</v>
      </c>
      <c r="E120" s="139" t="s">
        <v>365</v>
      </c>
      <c r="F120" s="66">
        <v>1</v>
      </c>
      <c r="G120" s="66" t="s">
        <v>773</v>
      </c>
      <c r="H120" s="74" t="s">
        <v>771</v>
      </c>
      <c r="I120" s="299">
        <f t="shared" si="5"/>
        <v>0</v>
      </c>
      <c r="K120" s="66">
        <f t="shared" si="6"/>
        <v>0</v>
      </c>
      <c r="L120" s="66">
        <f t="shared" si="7"/>
        <v>0</v>
      </c>
      <c r="M120" s="66"/>
      <c r="N120" s="307">
        <f t="shared" si="8"/>
        <v>0</v>
      </c>
      <c r="P120" s="284" t="s">
        <v>364</v>
      </c>
      <c r="Q120" s="139" t="s">
        <v>1763</v>
      </c>
      <c r="R120" s="66">
        <v>1</v>
      </c>
      <c r="S120" s="66" t="s">
        <v>773</v>
      </c>
      <c r="T120" s="74" t="s">
        <v>771</v>
      </c>
      <c r="U120" s="299">
        <f t="shared" si="9"/>
        <v>0</v>
      </c>
      <c r="V120" s="161"/>
    </row>
    <row r="121" spans="3:22">
      <c r="C121" s="358">
        <v>120</v>
      </c>
      <c r="D121" s="301" t="s">
        <v>273</v>
      </c>
      <c r="E121" s="139" t="s">
        <v>274</v>
      </c>
      <c r="F121" s="66">
        <v>2</v>
      </c>
      <c r="G121" s="66" t="s">
        <v>770</v>
      </c>
      <c r="H121" s="74" t="s">
        <v>771</v>
      </c>
      <c r="I121" s="299">
        <f t="shared" si="5"/>
        <v>1</v>
      </c>
      <c r="K121" s="66">
        <f t="shared" si="6"/>
        <v>0</v>
      </c>
      <c r="L121" s="66">
        <f t="shared" si="7"/>
        <v>0</v>
      </c>
      <c r="M121" s="66"/>
      <c r="N121" s="307">
        <f t="shared" si="8"/>
        <v>0</v>
      </c>
      <c r="P121" s="284" t="s">
        <v>273</v>
      </c>
      <c r="Q121" s="139" t="s">
        <v>1716</v>
      </c>
      <c r="R121" s="66">
        <v>2</v>
      </c>
      <c r="S121" s="66" t="s">
        <v>770</v>
      </c>
      <c r="T121" s="74" t="s">
        <v>771</v>
      </c>
      <c r="U121" s="299">
        <f t="shared" si="9"/>
        <v>1</v>
      </c>
      <c r="V121" s="161"/>
    </row>
    <row r="122" spans="3:22">
      <c r="C122" s="358">
        <v>121</v>
      </c>
      <c r="D122" s="301" t="s">
        <v>239</v>
      </c>
      <c r="E122" s="139" t="s">
        <v>240</v>
      </c>
      <c r="F122" s="66">
        <v>2</v>
      </c>
      <c r="G122" s="66" t="s">
        <v>773</v>
      </c>
      <c r="H122" s="74" t="s">
        <v>771</v>
      </c>
      <c r="I122" s="299">
        <f t="shared" si="5"/>
        <v>0</v>
      </c>
      <c r="K122" s="66">
        <f t="shared" si="6"/>
        <v>0</v>
      </c>
      <c r="L122" s="66">
        <f t="shared" si="7"/>
        <v>0</v>
      </c>
      <c r="M122" s="66"/>
      <c r="N122" s="307">
        <f t="shared" si="8"/>
        <v>0</v>
      </c>
      <c r="P122" s="284" t="s">
        <v>239</v>
      </c>
      <c r="Q122" s="139" t="s">
        <v>1699</v>
      </c>
      <c r="R122" s="66">
        <v>2</v>
      </c>
      <c r="S122" s="66" t="s">
        <v>773</v>
      </c>
      <c r="T122" s="74" t="s">
        <v>771</v>
      </c>
      <c r="U122" s="299">
        <f t="shared" si="9"/>
        <v>0</v>
      </c>
      <c r="V122" s="161"/>
    </row>
    <row r="123" spans="3:22">
      <c r="C123" s="358">
        <v>122</v>
      </c>
      <c r="D123" s="301" t="s">
        <v>257</v>
      </c>
      <c r="E123" s="139" t="s">
        <v>258</v>
      </c>
      <c r="F123" s="66">
        <v>2</v>
      </c>
      <c r="G123" s="66" t="s">
        <v>770</v>
      </c>
      <c r="H123" s="74" t="s">
        <v>772</v>
      </c>
      <c r="I123" s="299">
        <f t="shared" si="5"/>
        <v>1</v>
      </c>
      <c r="K123" s="66">
        <f t="shared" si="6"/>
        <v>0</v>
      </c>
      <c r="L123" s="66">
        <f t="shared" si="7"/>
        <v>0</v>
      </c>
      <c r="M123" s="66"/>
      <c r="N123" s="307">
        <f t="shared" si="8"/>
        <v>0</v>
      </c>
      <c r="P123" s="284" t="s">
        <v>257</v>
      </c>
      <c r="Q123" s="139" t="s">
        <v>1708</v>
      </c>
      <c r="R123" s="66">
        <v>2</v>
      </c>
      <c r="S123" s="66" t="s">
        <v>770</v>
      </c>
      <c r="T123" s="74" t="s">
        <v>772</v>
      </c>
      <c r="U123" s="299">
        <f t="shared" si="9"/>
        <v>1</v>
      </c>
      <c r="V123" s="161"/>
    </row>
    <row r="124" spans="3:22">
      <c r="C124" s="358">
        <v>123</v>
      </c>
      <c r="D124" s="301" t="s">
        <v>243</v>
      </c>
      <c r="E124" s="139" t="s">
        <v>244</v>
      </c>
      <c r="F124" s="66">
        <v>1</v>
      </c>
      <c r="G124" s="66" t="s">
        <v>773</v>
      </c>
      <c r="H124" s="74" t="s">
        <v>771</v>
      </c>
      <c r="I124" s="299">
        <f t="shared" si="5"/>
        <v>0</v>
      </c>
      <c r="K124" s="66">
        <f t="shared" si="6"/>
        <v>0</v>
      </c>
      <c r="L124" s="66">
        <f t="shared" si="7"/>
        <v>0</v>
      </c>
      <c r="M124" s="66"/>
      <c r="N124" s="307">
        <f t="shared" si="8"/>
        <v>0</v>
      </c>
      <c r="P124" s="284" t="s">
        <v>243</v>
      </c>
      <c r="Q124" s="139" t="s">
        <v>1701</v>
      </c>
      <c r="R124" s="66">
        <v>1</v>
      </c>
      <c r="S124" s="66" t="s">
        <v>773</v>
      </c>
      <c r="T124" s="74" t="s">
        <v>771</v>
      </c>
      <c r="U124" s="299">
        <f t="shared" si="9"/>
        <v>0</v>
      </c>
      <c r="V124" s="161"/>
    </row>
    <row r="125" spans="3:22">
      <c r="C125" s="358">
        <v>124</v>
      </c>
      <c r="D125" s="301" t="s">
        <v>177</v>
      </c>
      <c r="E125" s="139" t="s">
        <v>178</v>
      </c>
      <c r="F125" s="66">
        <v>1</v>
      </c>
      <c r="G125" s="66" t="s">
        <v>773</v>
      </c>
      <c r="H125" s="74" t="s">
        <v>771</v>
      </c>
      <c r="I125" s="299">
        <f t="shared" si="5"/>
        <v>0</v>
      </c>
      <c r="K125" s="66">
        <f t="shared" si="6"/>
        <v>0</v>
      </c>
      <c r="L125" s="66">
        <f t="shared" si="7"/>
        <v>0</v>
      </c>
      <c r="M125" s="66"/>
      <c r="N125" s="307">
        <f t="shared" si="8"/>
        <v>0</v>
      </c>
      <c r="P125" s="284" t="s">
        <v>177</v>
      </c>
      <c r="Q125" s="139" t="s">
        <v>1666</v>
      </c>
      <c r="R125" s="66">
        <v>1</v>
      </c>
      <c r="S125" s="66" t="s">
        <v>773</v>
      </c>
      <c r="T125" s="74" t="s">
        <v>771</v>
      </c>
      <c r="U125" s="299">
        <f t="shared" si="9"/>
        <v>0</v>
      </c>
      <c r="V125" s="161"/>
    </row>
    <row r="126" spans="3:22">
      <c r="C126" s="358">
        <v>125</v>
      </c>
      <c r="D126" s="301" t="s">
        <v>370</v>
      </c>
      <c r="E126" s="139" t="s">
        <v>371</v>
      </c>
      <c r="F126" s="66">
        <v>1</v>
      </c>
      <c r="G126" s="66" t="s">
        <v>773</v>
      </c>
      <c r="H126" s="74" t="s">
        <v>771</v>
      </c>
      <c r="I126" s="299">
        <f t="shared" si="5"/>
        <v>0</v>
      </c>
      <c r="K126" s="66">
        <f t="shared" si="6"/>
        <v>0</v>
      </c>
      <c r="L126" s="66">
        <f t="shared" si="7"/>
        <v>0</v>
      </c>
      <c r="M126" s="66"/>
      <c r="N126" s="307">
        <f t="shared" si="8"/>
        <v>0</v>
      </c>
      <c r="P126" s="284" t="s">
        <v>370</v>
      </c>
      <c r="Q126" s="139" t="s">
        <v>1766</v>
      </c>
      <c r="R126" s="66">
        <v>1</v>
      </c>
      <c r="S126" s="66" t="s">
        <v>773</v>
      </c>
      <c r="T126" s="74" t="s">
        <v>771</v>
      </c>
      <c r="U126" s="299">
        <f t="shared" si="9"/>
        <v>0</v>
      </c>
      <c r="V126" s="161"/>
    </row>
    <row r="127" spans="3:22">
      <c r="C127" s="358">
        <v>126</v>
      </c>
      <c r="D127" s="301" t="s">
        <v>638</v>
      </c>
      <c r="E127" s="139" t="s">
        <v>639</v>
      </c>
      <c r="F127" s="66">
        <v>2</v>
      </c>
      <c r="G127" s="289" t="s">
        <v>773</v>
      </c>
      <c r="H127" s="74" t="s">
        <v>771</v>
      </c>
      <c r="I127" s="299">
        <f t="shared" si="5"/>
        <v>0</v>
      </c>
      <c r="K127" s="66">
        <f t="shared" si="6"/>
        <v>0</v>
      </c>
      <c r="L127" s="66">
        <f t="shared" si="7"/>
        <v>0</v>
      </c>
      <c r="M127" s="66"/>
      <c r="N127" s="307">
        <f t="shared" si="8"/>
        <v>0</v>
      </c>
      <c r="P127" s="284" t="s">
        <v>638</v>
      </c>
      <c r="Q127" s="139" t="s">
        <v>1903</v>
      </c>
      <c r="R127" s="66">
        <v>2</v>
      </c>
      <c r="S127" s="289" t="s">
        <v>773</v>
      </c>
      <c r="T127" s="74" t="s">
        <v>771</v>
      </c>
      <c r="U127" s="299">
        <f t="shared" si="9"/>
        <v>0</v>
      </c>
      <c r="V127" s="161"/>
    </row>
    <row r="128" spans="3:22">
      <c r="C128" s="358">
        <v>127</v>
      </c>
      <c r="D128" s="301" t="s">
        <v>181</v>
      </c>
      <c r="E128" s="139" t="s">
        <v>182</v>
      </c>
      <c r="F128" s="66">
        <v>2</v>
      </c>
      <c r="G128" s="66" t="s">
        <v>773</v>
      </c>
      <c r="H128" s="74" t="s">
        <v>771</v>
      </c>
      <c r="I128" s="299">
        <f t="shared" si="5"/>
        <v>0</v>
      </c>
      <c r="K128" s="66">
        <f t="shared" si="6"/>
        <v>0</v>
      </c>
      <c r="L128" s="66">
        <f t="shared" si="7"/>
        <v>0</v>
      </c>
      <c r="M128" s="66"/>
      <c r="N128" s="307">
        <f t="shared" si="8"/>
        <v>0</v>
      </c>
      <c r="P128" s="284" t="s">
        <v>181</v>
      </c>
      <c r="Q128" s="139" t="s">
        <v>1668</v>
      </c>
      <c r="R128" s="66">
        <v>2</v>
      </c>
      <c r="S128" s="66" t="s">
        <v>773</v>
      </c>
      <c r="T128" s="74" t="s">
        <v>771</v>
      </c>
      <c r="U128" s="299">
        <f t="shared" si="9"/>
        <v>0</v>
      </c>
      <c r="V128" s="161"/>
    </row>
    <row r="129" spans="3:22">
      <c r="C129" s="358">
        <v>128</v>
      </c>
      <c r="D129" s="301" t="s">
        <v>392</v>
      </c>
      <c r="E129" s="139" t="s">
        <v>393</v>
      </c>
      <c r="F129" s="66">
        <v>2</v>
      </c>
      <c r="G129" s="66" t="s">
        <v>770</v>
      </c>
      <c r="H129" s="74" t="s">
        <v>771</v>
      </c>
      <c r="I129" s="299">
        <f t="shared" si="5"/>
        <v>1</v>
      </c>
      <c r="K129" s="66">
        <f t="shared" si="6"/>
        <v>0</v>
      </c>
      <c r="L129" s="66">
        <f t="shared" si="7"/>
        <v>0</v>
      </c>
      <c r="M129" s="66"/>
      <c r="N129" s="307">
        <f t="shared" si="8"/>
        <v>0</v>
      </c>
      <c r="P129" s="284" t="s">
        <v>392</v>
      </c>
      <c r="Q129" s="139" t="s">
        <v>1779</v>
      </c>
      <c r="R129" s="66">
        <v>2</v>
      </c>
      <c r="S129" s="66" t="s">
        <v>770</v>
      </c>
      <c r="T129" s="74" t="s">
        <v>771</v>
      </c>
      <c r="U129" s="299">
        <f t="shared" si="9"/>
        <v>1</v>
      </c>
      <c r="V129" s="161"/>
    </row>
    <row r="130" spans="3:22">
      <c r="C130" s="358">
        <v>129</v>
      </c>
      <c r="D130" s="301" t="s">
        <v>406</v>
      </c>
      <c r="E130" s="139" t="s">
        <v>407</v>
      </c>
      <c r="F130" s="66">
        <v>2</v>
      </c>
      <c r="G130" s="66" t="s">
        <v>770</v>
      </c>
      <c r="H130" s="74" t="s">
        <v>771</v>
      </c>
      <c r="I130" s="299">
        <f t="shared" ref="I130:I193" si="10">IF(+G130="cash",1,0)</f>
        <v>1</v>
      </c>
      <c r="K130" s="66">
        <f t="shared" ref="K130:K193" si="11">+F130-R130</f>
        <v>0</v>
      </c>
      <c r="L130" s="66">
        <f t="shared" ref="L130:L193" si="12">+I130-U130</f>
        <v>0</v>
      </c>
      <c r="M130" s="66"/>
      <c r="N130" s="307">
        <f t="shared" ref="N130:N193" si="13">+P130-D130</f>
        <v>0</v>
      </c>
      <c r="P130" s="284" t="s">
        <v>406</v>
      </c>
      <c r="Q130" s="139" t="s">
        <v>1786</v>
      </c>
      <c r="R130" s="66">
        <v>2</v>
      </c>
      <c r="S130" s="66" t="s">
        <v>770</v>
      </c>
      <c r="T130" s="74" t="s">
        <v>771</v>
      </c>
      <c r="U130" s="299">
        <f t="shared" ref="U130:U193" si="14">IF(+S130="cash",1,0)</f>
        <v>1</v>
      </c>
      <c r="V130" s="161"/>
    </row>
    <row r="131" spans="3:22">
      <c r="C131" s="358">
        <v>130</v>
      </c>
      <c r="D131" s="301" t="s">
        <v>550</v>
      </c>
      <c r="E131" s="139" t="s">
        <v>551</v>
      </c>
      <c r="F131" s="66">
        <v>2</v>
      </c>
      <c r="G131" s="66" t="s">
        <v>773</v>
      </c>
      <c r="H131" s="74" t="s">
        <v>771</v>
      </c>
      <c r="I131" s="299">
        <f t="shared" si="10"/>
        <v>0</v>
      </c>
      <c r="K131" s="66">
        <f t="shared" si="11"/>
        <v>0</v>
      </c>
      <c r="L131" s="66">
        <f t="shared" si="12"/>
        <v>0</v>
      </c>
      <c r="M131" s="66"/>
      <c r="N131" s="307">
        <f t="shared" si="13"/>
        <v>0</v>
      </c>
      <c r="P131" s="284" t="s">
        <v>550</v>
      </c>
      <c r="Q131" s="139" t="s">
        <v>1857</v>
      </c>
      <c r="R131" s="66">
        <v>2</v>
      </c>
      <c r="S131" s="66" t="s">
        <v>773</v>
      </c>
      <c r="T131" s="74" t="s">
        <v>771</v>
      </c>
      <c r="U131" s="299">
        <f t="shared" si="14"/>
        <v>0</v>
      </c>
      <c r="V131" s="161"/>
    </row>
    <row r="132" spans="3:22">
      <c r="C132" s="358">
        <v>131</v>
      </c>
      <c r="D132" s="301" t="s">
        <v>217</v>
      </c>
      <c r="E132" s="139" t="s">
        <v>1195</v>
      </c>
      <c r="F132" s="66">
        <v>2</v>
      </c>
      <c r="G132" s="66" t="s">
        <v>773</v>
      </c>
      <c r="H132" s="74" t="s">
        <v>771</v>
      </c>
      <c r="I132" s="299">
        <f t="shared" si="10"/>
        <v>0</v>
      </c>
      <c r="K132" s="66">
        <f t="shared" si="11"/>
        <v>0</v>
      </c>
      <c r="L132" s="66">
        <f t="shared" si="12"/>
        <v>0</v>
      </c>
      <c r="M132" s="66"/>
      <c r="N132" s="307">
        <f t="shared" si="13"/>
        <v>0</v>
      </c>
      <c r="P132" s="284" t="s">
        <v>217</v>
      </c>
      <c r="Q132" s="139" t="s">
        <v>1687</v>
      </c>
      <c r="R132" s="66">
        <v>2</v>
      </c>
      <c r="S132" s="66" t="s">
        <v>773</v>
      </c>
      <c r="T132" s="74" t="s">
        <v>771</v>
      </c>
      <c r="U132" s="299">
        <f t="shared" si="14"/>
        <v>0</v>
      </c>
      <c r="V132" s="161"/>
    </row>
    <row r="133" spans="3:22">
      <c r="C133" s="358">
        <v>132</v>
      </c>
      <c r="D133" s="301" t="s">
        <v>685</v>
      </c>
      <c r="E133" s="139" t="s">
        <v>686</v>
      </c>
      <c r="F133" s="66">
        <v>2</v>
      </c>
      <c r="G133" s="66" t="s">
        <v>770</v>
      </c>
      <c r="H133" s="74" t="s">
        <v>771</v>
      </c>
      <c r="I133" s="299">
        <f t="shared" si="10"/>
        <v>1</v>
      </c>
      <c r="K133" s="66">
        <f t="shared" si="11"/>
        <v>0</v>
      </c>
      <c r="L133" s="66">
        <f t="shared" si="12"/>
        <v>0</v>
      </c>
      <c r="M133" s="66"/>
      <c r="N133" s="307">
        <f t="shared" si="13"/>
        <v>0</v>
      </c>
      <c r="P133" s="284" t="s">
        <v>685</v>
      </c>
      <c r="Q133" s="139" t="s">
        <v>1929</v>
      </c>
      <c r="R133" s="66">
        <v>2</v>
      </c>
      <c r="S133" s="66" t="s">
        <v>770</v>
      </c>
      <c r="T133" s="74" t="s">
        <v>771</v>
      </c>
      <c r="U133" s="299">
        <f t="shared" si="14"/>
        <v>1</v>
      </c>
      <c r="V133" s="161"/>
    </row>
    <row r="134" spans="3:22">
      <c r="C134" s="358">
        <v>133</v>
      </c>
      <c r="D134" s="301" t="s">
        <v>195</v>
      </c>
      <c r="E134" s="139" t="s">
        <v>196</v>
      </c>
      <c r="F134" s="66">
        <v>2</v>
      </c>
      <c r="G134" s="66" t="s">
        <v>773</v>
      </c>
      <c r="H134" s="74" t="s">
        <v>771</v>
      </c>
      <c r="I134" s="299">
        <f t="shared" si="10"/>
        <v>0</v>
      </c>
      <c r="K134" s="66">
        <f t="shared" si="11"/>
        <v>0</v>
      </c>
      <c r="L134" s="66">
        <f t="shared" si="12"/>
        <v>0</v>
      </c>
      <c r="M134" s="66"/>
      <c r="N134" s="307">
        <f t="shared" si="13"/>
        <v>0</v>
      </c>
      <c r="P134" s="284" t="s">
        <v>195</v>
      </c>
      <c r="Q134" s="139" t="s">
        <v>1675</v>
      </c>
      <c r="R134" s="66">
        <v>2</v>
      </c>
      <c r="S134" s="66" t="s">
        <v>773</v>
      </c>
      <c r="T134" s="74" t="s">
        <v>771</v>
      </c>
      <c r="U134" s="299">
        <f t="shared" si="14"/>
        <v>0</v>
      </c>
      <c r="V134" s="161"/>
    </row>
    <row r="135" spans="3:22">
      <c r="C135" s="358">
        <v>134</v>
      </c>
      <c r="D135" s="301" t="s">
        <v>566</v>
      </c>
      <c r="E135" s="139" t="s">
        <v>567</v>
      </c>
      <c r="F135" s="66">
        <v>1</v>
      </c>
      <c r="G135" s="66" t="s">
        <v>773</v>
      </c>
      <c r="H135" s="74" t="s">
        <v>771</v>
      </c>
      <c r="I135" s="299">
        <f t="shared" si="10"/>
        <v>0</v>
      </c>
      <c r="K135" s="66">
        <f t="shared" si="11"/>
        <v>0</v>
      </c>
      <c r="L135" s="66">
        <f t="shared" si="12"/>
        <v>0</v>
      </c>
      <c r="M135" s="66"/>
      <c r="N135" s="307">
        <f t="shared" si="13"/>
        <v>0</v>
      </c>
      <c r="P135" s="284" t="s">
        <v>566</v>
      </c>
      <c r="Q135" s="139" t="s">
        <v>1865</v>
      </c>
      <c r="R135" s="66">
        <v>1</v>
      </c>
      <c r="S135" s="66" t="s">
        <v>773</v>
      </c>
      <c r="T135" s="74" t="s">
        <v>771</v>
      </c>
      <c r="U135" s="299">
        <f t="shared" si="14"/>
        <v>0</v>
      </c>
      <c r="V135" s="161"/>
    </row>
    <row r="136" spans="3:22">
      <c r="C136" s="358">
        <v>135</v>
      </c>
      <c r="D136" s="301" t="s">
        <v>368</v>
      </c>
      <c r="E136" s="139" t="s">
        <v>369</v>
      </c>
      <c r="F136" s="66">
        <v>1</v>
      </c>
      <c r="G136" s="66" t="s">
        <v>773</v>
      </c>
      <c r="H136" s="74" t="s">
        <v>771</v>
      </c>
      <c r="I136" s="299">
        <f t="shared" si="10"/>
        <v>0</v>
      </c>
      <c r="K136" s="66">
        <f t="shared" si="11"/>
        <v>0</v>
      </c>
      <c r="L136" s="66">
        <f t="shared" si="12"/>
        <v>0</v>
      </c>
      <c r="M136" s="66"/>
      <c r="N136" s="307">
        <f t="shared" si="13"/>
        <v>0</v>
      </c>
      <c r="P136" s="284" t="s">
        <v>368</v>
      </c>
      <c r="Q136" s="139" t="s">
        <v>1765</v>
      </c>
      <c r="R136" s="66">
        <v>1</v>
      </c>
      <c r="S136" s="66" t="s">
        <v>773</v>
      </c>
      <c r="T136" s="74" t="s">
        <v>771</v>
      </c>
      <c r="U136" s="299">
        <f t="shared" si="14"/>
        <v>0</v>
      </c>
      <c r="V136" s="161"/>
    </row>
    <row r="137" spans="3:22">
      <c r="C137" s="358">
        <v>136</v>
      </c>
      <c r="D137" s="301" t="s">
        <v>582</v>
      </c>
      <c r="E137" s="139" t="s">
        <v>583</v>
      </c>
      <c r="F137" s="66">
        <v>1</v>
      </c>
      <c r="G137" s="66" t="s">
        <v>773</v>
      </c>
      <c r="H137" s="74" t="s">
        <v>771</v>
      </c>
      <c r="I137" s="299">
        <f t="shared" si="10"/>
        <v>0</v>
      </c>
      <c r="K137" s="66">
        <f t="shared" si="11"/>
        <v>0</v>
      </c>
      <c r="L137" s="66">
        <f t="shared" si="12"/>
        <v>0</v>
      </c>
      <c r="M137" s="66"/>
      <c r="N137" s="307">
        <f t="shared" si="13"/>
        <v>0</v>
      </c>
      <c r="P137" s="284" t="s">
        <v>582</v>
      </c>
      <c r="Q137" s="139" t="s">
        <v>1873</v>
      </c>
      <c r="R137" s="66">
        <v>1</v>
      </c>
      <c r="S137" s="66" t="s">
        <v>773</v>
      </c>
      <c r="T137" s="74" t="s">
        <v>771</v>
      </c>
      <c r="U137" s="299">
        <f t="shared" si="14"/>
        <v>0</v>
      </c>
      <c r="V137" s="161"/>
    </row>
    <row r="138" spans="3:22">
      <c r="C138" s="358">
        <v>137</v>
      </c>
      <c r="D138" s="301" t="s">
        <v>687</v>
      </c>
      <c r="E138" s="139" t="s">
        <v>688</v>
      </c>
      <c r="F138" s="66">
        <v>2</v>
      </c>
      <c r="G138" s="66" t="s">
        <v>770</v>
      </c>
      <c r="H138" s="74" t="s">
        <v>772</v>
      </c>
      <c r="I138" s="299">
        <f t="shared" si="10"/>
        <v>1</v>
      </c>
      <c r="K138" s="66">
        <f t="shared" si="11"/>
        <v>0</v>
      </c>
      <c r="L138" s="66">
        <f t="shared" si="12"/>
        <v>0</v>
      </c>
      <c r="M138" s="66"/>
      <c r="N138" s="307">
        <f t="shared" si="13"/>
        <v>0</v>
      </c>
      <c r="P138" s="284" t="s">
        <v>687</v>
      </c>
      <c r="Q138" s="139" t="s">
        <v>1930</v>
      </c>
      <c r="R138" s="66">
        <v>2</v>
      </c>
      <c r="S138" s="66" t="s">
        <v>770</v>
      </c>
      <c r="T138" s="74" t="s">
        <v>772</v>
      </c>
      <c r="U138" s="299">
        <f t="shared" si="14"/>
        <v>1</v>
      </c>
      <c r="V138" s="161"/>
    </row>
    <row r="139" spans="3:22">
      <c r="C139" s="358">
        <v>138</v>
      </c>
      <c r="D139" s="301" t="s">
        <v>611</v>
      </c>
      <c r="E139" s="139" t="s">
        <v>612</v>
      </c>
      <c r="F139" s="66">
        <v>2</v>
      </c>
      <c r="G139" s="66" t="s">
        <v>770</v>
      </c>
      <c r="H139" s="74" t="s">
        <v>771</v>
      </c>
      <c r="I139" s="299">
        <f t="shared" si="10"/>
        <v>1</v>
      </c>
      <c r="K139" s="66">
        <f t="shared" si="11"/>
        <v>0</v>
      </c>
      <c r="L139" s="66">
        <f t="shared" si="12"/>
        <v>0</v>
      </c>
      <c r="M139" s="66"/>
      <c r="N139" s="307">
        <f t="shared" si="13"/>
        <v>0</v>
      </c>
      <c r="P139" s="284" t="s">
        <v>611</v>
      </c>
      <c r="Q139" s="139" t="s">
        <v>1888</v>
      </c>
      <c r="R139" s="66">
        <v>2</v>
      </c>
      <c r="S139" s="66" t="s">
        <v>770</v>
      </c>
      <c r="T139" s="74" t="s">
        <v>771</v>
      </c>
      <c r="U139" s="299">
        <f t="shared" si="14"/>
        <v>1</v>
      </c>
      <c r="V139" s="161"/>
    </row>
    <row r="140" spans="3:22">
      <c r="C140" s="358">
        <v>139</v>
      </c>
      <c r="D140" s="301" t="s">
        <v>169</v>
      </c>
      <c r="E140" s="139" t="s">
        <v>170</v>
      </c>
      <c r="F140" s="66">
        <v>2</v>
      </c>
      <c r="G140" s="66" t="s">
        <v>770</v>
      </c>
      <c r="H140" s="74" t="s">
        <v>771</v>
      </c>
      <c r="I140" s="299">
        <f t="shared" si="10"/>
        <v>1</v>
      </c>
      <c r="K140" s="66">
        <f t="shared" si="11"/>
        <v>0</v>
      </c>
      <c r="L140" s="66">
        <f t="shared" si="12"/>
        <v>0</v>
      </c>
      <c r="M140" s="66"/>
      <c r="N140" s="307">
        <f t="shared" si="13"/>
        <v>0</v>
      </c>
      <c r="P140" s="284" t="s">
        <v>169</v>
      </c>
      <c r="Q140" s="139" t="s">
        <v>1662</v>
      </c>
      <c r="R140" s="66">
        <v>2</v>
      </c>
      <c r="S140" s="66" t="s">
        <v>770</v>
      </c>
      <c r="T140" s="74" t="s">
        <v>771</v>
      </c>
      <c r="U140" s="299">
        <f t="shared" si="14"/>
        <v>1</v>
      </c>
      <c r="V140" s="161"/>
    </row>
    <row r="141" spans="3:22">
      <c r="C141" s="358">
        <v>140</v>
      </c>
      <c r="D141" s="301" t="s">
        <v>233</v>
      </c>
      <c r="E141" s="139" t="s">
        <v>234</v>
      </c>
      <c r="F141" s="66">
        <v>1</v>
      </c>
      <c r="G141" s="66" t="s">
        <v>773</v>
      </c>
      <c r="H141" s="74" t="s">
        <v>771</v>
      </c>
      <c r="I141" s="299">
        <f t="shared" si="10"/>
        <v>0</v>
      </c>
      <c r="K141" s="66">
        <f t="shared" si="11"/>
        <v>0</v>
      </c>
      <c r="L141" s="66">
        <f t="shared" si="12"/>
        <v>0</v>
      </c>
      <c r="M141" s="66"/>
      <c r="N141" s="307">
        <f t="shared" si="13"/>
        <v>0</v>
      </c>
      <c r="P141" s="284" t="s">
        <v>233</v>
      </c>
      <c r="Q141" s="139" t="s">
        <v>1696</v>
      </c>
      <c r="R141" s="66">
        <v>1</v>
      </c>
      <c r="S141" s="66" t="s">
        <v>773</v>
      </c>
      <c r="T141" s="74" t="s">
        <v>771</v>
      </c>
      <c r="U141" s="299">
        <f t="shared" si="14"/>
        <v>0</v>
      </c>
      <c r="V141" s="161"/>
    </row>
    <row r="142" spans="3:22">
      <c r="C142" s="358">
        <v>141</v>
      </c>
      <c r="D142" s="301" t="s">
        <v>628</v>
      </c>
      <c r="E142" s="139" t="s">
        <v>629</v>
      </c>
      <c r="F142" s="66">
        <v>2</v>
      </c>
      <c r="G142" s="66" t="s">
        <v>770</v>
      </c>
      <c r="H142" s="74" t="s">
        <v>772</v>
      </c>
      <c r="I142" s="299">
        <f t="shared" si="10"/>
        <v>1</v>
      </c>
      <c r="K142" s="66">
        <f t="shared" si="11"/>
        <v>0</v>
      </c>
      <c r="L142" s="66">
        <f t="shared" si="12"/>
        <v>0</v>
      </c>
      <c r="M142" s="66"/>
      <c r="N142" s="307">
        <f t="shared" si="13"/>
        <v>0</v>
      </c>
      <c r="P142" s="284" t="s">
        <v>628</v>
      </c>
      <c r="Q142" s="139" t="s">
        <v>1897</v>
      </c>
      <c r="R142" s="66">
        <v>2</v>
      </c>
      <c r="S142" s="66" t="s">
        <v>770</v>
      </c>
      <c r="T142" s="74" t="s">
        <v>772</v>
      </c>
      <c r="U142" s="299">
        <f t="shared" si="14"/>
        <v>1</v>
      </c>
      <c r="V142" s="161"/>
    </row>
    <row r="143" spans="3:22">
      <c r="C143" s="358">
        <v>142</v>
      </c>
      <c r="D143" s="301" t="s">
        <v>539</v>
      </c>
      <c r="E143" s="139" t="s">
        <v>540</v>
      </c>
      <c r="F143" s="66">
        <v>2</v>
      </c>
      <c r="G143" s="66" t="s">
        <v>773</v>
      </c>
      <c r="H143" s="74" t="s">
        <v>771</v>
      </c>
      <c r="I143" s="299">
        <f t="shared" si="10"/>
        <v>0</v>
      </c>
      <c r="K143" s="66">
        <f t="shared" si="11"/>
        <v>0</v>
      </c>
      <c r="L143" s="66">
        <f t="shared" si="12"/>
        <v>0</v>
      </c>
      <c r="M143" s="66"/>
      <c r="N143" s="307">
        <f t="shared" si="13"/>
        <v>0</v>
      </c>
      <c r="P143" s="284" t="s">
        <v>539</v>
      </c>
      <c r="Q143" s="139" t="s">
        <v>2498</v>
      </c>
      <c r="R143" s="66">
        <v>2</v>
      </c>
      <c r="S143" s="66" t="s">
        <v>773</v>
      </c>
      <c r="T143" s="74" t="s">
        <v>771</v>
      </c>
      <c r="U143" s="299">
        <f t="shared" si="14"/>
        <v>0</v>
      </c>
      <c r="V143" s="161"/>
    </row>
    <row r="144" spans="3:22">
      <c r="C144" s="358">
        <v>143</v>
      </c>
      <c r="D144" s="308" t="s">
        <v>1577</v>
      </c>
      <c r="E144" s="73" t="s">
        <v>1591</v>
      </c>
      <c r="F144" s="66">
        <v>2</v>
      </c>
      <c r="G144" s="66" t="s">
        <v>773</v>
      </c>
      <c r="H144" s="74" t="s">
        <v>771</v>
      </c>
      <c r="I144" s="299">
        <f t="shared" si="10"/>
        <v>0</v>
      </c>
      <c r="K144" s="66">
        <f t="shared" si="11"/>
        <v>0</v>
      </c>
      <c r="L144" s="66">
        <f t="shared" si="12"/>
        <v>0</v>
      </c>
      <c r="M144" s="66"/>
      <c r="N144" s="307">
        <f t="shared" si="13"/>
        <v>0</v>
      </c>
      <c r="P144" s="293" t="s">
        <v>1577</v>
      </c>
      <c r="Q144" s="73" t="s">
        <v>1968</v>
      </c>
      <c r="R144" s="66">
        <v>2</v>
      </c>
      <c r="S144" s="66" t="s">
        <v>773</v>
      </c>
      <c r="T144" s="74" t="s">
        <v>771</v>
      </c>
      <c r="U144" s="299">
        <f t="shared" si="14"/>
        <v>0</v>
      </c>
      <c r="V144" s="161"/>
    </row>
    <row r="145" spans="3:22">
      <c r="C145" s="358">
        <v>144</v>
      </c>
      <c r="D145" s="309" t="s">
        <v>1178</v>
      </c>
      <c r="E145" t="s">
        <v>1190</v>
      </c>
      <c r="F145" s="66">
        <v>2</v>
      </c>
      <c r="G145" s="66" t="s">
        <v>773</v>
      </c>
      <c r="H145" s="74" t="s">
        <v>771</v>
      </c>
      <c r="I145" s="299">
        <f t="shared" si="10"/>
        <v>0</v>
      </c>
      <c r="K145" s="66">
        <f t="shared" si="11"/>
        <v>0</v>
      </c>
      <c r="L145" s="66">
        <f t="shared" si="12"/>
        <v>0</v>
      </c>
      <c r="M145" s="66"/>
      <c r="N145" s="307">
        <f t="shared" si="13"/>
        <v>0</v>
      </c>
      <c r="P145" s="294" t="s">
        <v>1178</v>
      </c>
      <c r="Q145" t="s">
        <v>1928</v>
      </c>
      <c r="R145" s="66">
        <v>2</v>
      </c>
      <c r="S145" s="66" t="s">
        <v>773</v>
      </c>
      <c r="T145" s="74" t="s">
        <v>771</v>
      </c>
      <c r="U145" s="299">
        <f t="shared" si="14"/>
        <v>0</v>
      </c>
      <c r="V145" s="161"/>
    </row>
    <row r="146" spans="3:22">
      <c r="C146" s="358">
        <v>145</v>
      </c>
      <c r="D146" s="301" t="s">
        <v>414</v>
      </c>
      <c r="E146" s="139" t="s">
        <v>415</v>
      </c>
      <c r="F146" s="66">
        <v>2</v>
      </c>
      <c r="G146" s="66" t="s">
        <v>770</v>
      </c>
      <c r="H146" s="74" t="s">
        <v>771</v>
      </c>
      <c r="I146" s="299">
        <f t="shared" si="10"/>
        <v>1</v>
      </c>
      <c r="K146" s="66">
        <f t="shared" si="11"/>
        <v>0</v>
      </c>
      <c r="L146" s="66">
        <f t="shared" si="12"/>
        <v>0</v>
      </c>
      <c r="M146" s="66"/>
      <c r="N146" s="307">
        <f t="shared" si="13"/>
        <v>0</v>
      </c>
      <c r="P146" s="284" t="s">
        <v>414</v>
      </c>
      <c r="Q146" s="139" t="s">
        <v>1790</v>
      </c>
      <c r="R146" s="66">
        <v>2</v>
      </c>
      <c r="S146" s="66" t="s">
        <v>770</v>
      </c>
      <c r="T146" s="74" t="s">
        <v>771</v>
      </c>
      <c r="U146" s="299">
        <f t="shared" si="14"/>
        <v>1</v>
      </c>
      <c r="V146" s="161"/>
    </row>
    <row r="147" spans="3:22">
      <c r="C147" s="358">
        <v>146</v>
      </c>
      <c r="D147" s="301" t="s">
        <v>677</v>
      </c>
      <c r="E147" s="139" t="s">
        <v>678</v>
      </c>
      <c r="F147" s="66">
        <v>1</v>
      </c>
      <c r="G147" s="66" t="s">
        <v>773</v>
      </c>
      <c r="H147" s="74" t="s">
        <v>771</v>
      </c>
      <c r="I147" s="299">
        <f t="shared" si="10"/>
        <v>0</v>
      </c>
      <c r="K147" s="66">
        <f t="shared" si="11"/>
        <v>0</v>
      </c>
      <c r="L147" s="66">
        <f t="shared" si="12"/>
        <v>0</v>
      </c>
      <c r="M147" s="66"/>
      <c r="N147" s="307">
        <f t="shared" si="13"/>
        <v>0</v>
      </c>
      <c r="P147" s="284" t="s">
        <v>677</v>
      </c>
      <c r="Q147" s="139" t="s">
        <v>1924</v>
      </c>
      <c r="R147" s="66">
        <v>1</v>
      </c>
      <c r="S147" s="66" t="s">
        <v>773</v>
      </c>
      <c r="T147" s="74" t="s">
        <v>771</v>
      </c>
      <c r="U147" s="299">
        <f t="shared" si="14"/>
        <v>0</v>
      </c>
      <c r="V147" s="161"/>
    </row>
    <row r="148" spans="3:22">
      <c r="C148" s="358">
        <v>147</v>
      </c>
      <c r="D148" s="301" t="s">
        <v>720</v>
      </c>
      <c r="E148" s="139" t="s">
        <v>721</v>
      </c>
      <c r="F148" s="66">
        <v>2</v>
      </c>
      <c r="G148" s="66" t="s">
        <v>773</v>
      </c>
      <c r="H148" s="74" t="s">
        <v>771</v>
      </c>
      <c r="I148" s="299">
        <f t="shared" si="10"/>
        <v>0</v>
      </c>
      <c r="K148" s="66">
        <f t="shared" si="11"/>
        <v>0</v>
      </c>
      <c r="L148" s="66">
        <f t="shared" si="12"/>
        <v>0</v>
      </c>
      <c r="M148" s="66"/>
      <c r="N148" s="307">
        <f t="shared" si="13"/>
        <v>0</v>
      </c>
      <c r="P148" s="284" t="s">
        <v>720</v>
      </c>
      <c r="Q148" s="139" t="s">
        <v>1947</v>
      </c>
      <c r="R148" s="66">
        <v>2</v>
      </c>
      <c r="S148" s="66" t="s">
        <v>773</v>
      </c>
      <c r="T148" s="74" t="s">
        <v>771</v>
      </c>
      <c r="U148" s="299">
        <f t="shared" si="14"/>
        <v>0</v>
      </c>
      <c r="V148" s="161"/>
    </row>
    <row r="149" spans="3:22">
      <c r="C149" s="358">
        <v>148</v>
      </c>
      <c r="D149" s="301" t="s">
        <v>253</v>
      </c>
      <c r="E149" s="139" t="s">
        <v>254</v>
      </c>
      <c r="F149" s="66">
        <v>2</v>
      </c>
      <c r="G149" s="66" t="s">
        <v>773</v>
      </c>
      <c r="H149" s="74" t="s">
        <v>771</v>
      </c>
      <c r="I149" s="299">
        <f t="shared" si="10"/>
        <v>0</v>
      </c>
      <c r="K149" s="66">
        <f t="shared" si="11"/>
        <v>0</v>
      </c>
      <c r="L149" s="66">
        <f t="shared" si="12"/>
        <v>0</v>
      </c>
      <c r="M149" s="66"/>
      <c r="N149" s="307">
        <f t="shared" si="13"/>
        <v>0</v>
      </c>
      <c r="P149" s="284" t="s">
        <v>253</v>
      </c>
      <c r="Q149" s="139" t="s">
        <v>1706</v>
      </c>
      <c r="R149" s="66">
        <v>2</v>
      </c>
      <c r="S149" s="66" t="s">
        <v>773</v>
      </c>
      <c r="T149" s="74" t="s">
        <v>771</v>
      </c>
      <c r="U149" s="299">
        <f t="shared" si="14"/>
        <v>0</v>
      </c>
      <c r="V149" s="161"/>
    </row>
    <row r="150" spans="3:22">
      <c r="C150" s="358">
        <v>149</v>
      </c>
      <c r="D150" s="301" t="s">
        <v>189</v>
      </c>
      <c r="E150" s="139" t="s">
        <v>190</v>
      </c>
      <c r="F150" s="66">
        <v>2</v>
      </c>
      <c r="G150" s="66" t="s">
        <v>773</v>
      </c>
      <c r="H150" s="74" t="s">
        <v>771</v>
      </c>
      <c r="I150" s="299">
        <f t="shared" si="10"/>
        <v>0</v>
      </c>
      <c r="K150" s="66">
        <f t="shared" si="11"/>
        <v>0</v>
      </c>
      <c r="L150" s="66">
        <f t="shared" si="12"/>
        <v>0</v>
      </c>
      <c r="M150" s="66"/>
      <c r="N150" s="307">
        <f t="shared" si="13"/>
        <v>0</v>
      </c>
      <c r="P150" s="284" t="s">
        <v>189</v>
      </c>
      <c r="Q150" s="139" t="s">
        <v>1672</v>
      </c>
      <c r="R150" s="66">
        <v>2</v>
      </c>
      <c r="S150" s="66" t="s">
        <v>773</v>
      </c>
      <c r="T150" s="74" t="s">
        <v>771</v>
      </c>
      <c r="U150" s="299">
        <f t="shared" si="14"/>
        <v>0</v>
      </c>
      <c r="V150" s="161"/>
    </row>
    <row r="151" spans="3:22">
      <c r="C151" s="358">
        <v>150</v>
      </c>
      <c r="D151" s="301" t="s">
        <v>464</v>
      </c>
      <c r="E151" s="139" t="s">
        <v>465</v>
      </c>
      <c r="F151" s="66">
        <v>2</v>
      </c>
      <c r="G151" s="66" t="s">
        <v>773</v>
      </c>
      <c r="H151" s="74" t="s">
        <v>771</v>
      </c>
      <c r="I151" s="299">
        <f t="shared" si="10"/>
        <v>0</v>
      </c>
      <c r="K151" s="66">
        <f t="shared" si="11"/>
        <v>0</v>
      </c>
      <c r="L151" s="66">
        <f t="shared" si="12"/>
        <v>0</v>
      </c>
      <c r="M151" s="66"/>
      <c r="N151" s="307">
        <f t="shared" si="13"/>
        <v>0</v>
      </c>
      <c r="P151" s="284" t="s">
        <v>464</v>
      </c>
      <c r="Q151" s="139" t="s">
        <v>1815</v>
      </c>
      <c r="R151" s="66">
        <v>2</v>
      </c>
      <c r="S151" s="66" t="s">
        <v>773</v>
      </c>
      <c r="T151" s="74" t="s">
        <v>771</v>
      </c>
      <c r="U151" s="299">
        <f t="shared" si="14"/>
        <v>0</v>
      </c>
      <c r="V151" s="161"/>
    </row>
    <row r="152" spans="3:22">
      <c r="C152" s="358">
        <v>151</v>
      </c>
      <c r="D152" s="301" t="s">
        <v>634</v>
      </c>
      <c r="E152" s="139" t="s">
        <v>635</v>
      </c>
      <c r="F152" s="66">
        <v>2</v>
      </c>
      <c r="G152" s="611" t="s">
        <v>773</v>
      </c>
      <c r="H152" s="74" t="s">
        <v>771</v>
      </c>
      <c r="I152" s="299">
        <f t="shared" si="10"/>
        <v>0</v>
      </c>
      <c r="K152" s="66">
        <f t="shared" si="11"/>
        <v>0</v>
      </c>
      <c r="L152" s="66">
        <f t="shared" si="12"/>
        <v>0</v>
      </c>
      <c r="M152" s="66"/>
      <c r="N152" s="307">
        <f t="shared" si="13"/>
        <v>0</v>
      </c>
      <c r="P152" s="284" t="s">
        <v>634</v>
      </c>
      <c r="Q152" s="139" t="s">
        <v>1901</v>
      </c>
      <c r="R152" s="66">
        <v>2</v>
      </c>
      <c r="S152" s="611" t="s">
        <v>773</v>
      </c>
      <c r="T152" s="74" t="s">
        <v>771</v>
      </c>
      <c r="U152" s="299">
        <f t="shared" si="14"/>
        <v>0</v>
      </c>
      <c r="V152" s="161"/>
    </row>
    <row r="153" spans="3:22">
      <c r="C153" s="358">
        <v>152</v>
      </c>
      <c r="D153" s="301" t="s">
        <v>574</v>
      </c>
      <c r="E153" s="139" t="s">
        <v>575</v>
      </c>
      <c r="F153" s="66">
        <v>1</v>
      </c>
      <c r="G153" s="66" t="s">
        <v>773</v>
      </c>
      <c r="H153" s="74" t="s">
        <v>771</v>
      </c>
      <c r="I153" s="299">
        <f t="shared" si="10"/>
        <v>0</v>
      </c>
      <c r="K153" s="66">
        <f t="shared" si="11"/>
        <v>0</v>
      </c>
      <c r="L153" s="66">
        <f t="shared" si="12"/>
        <v>0</v>
      </c>
      <c r="M153" s="66"/>
      <c r="N153" s="307">
        <f t="shared" si="13"/>
        <v>0</v>
      </c>
      <c r="P153" s="284" t="s">
        <v>574</v>
      </c>
      <c r="Q153" s="139" t="s">
        <v>1869</v>
      </c>
      <c r="R153" s="66">
        <v>1</v>
      </c>
      <c r="S153" s="66" t="s">
        <v>773</v>
      </c>
      <c r="T153" s="74" t="s">
        <v>771</v>
      </c>
      <c r="U153" s="299">
        <f t="shared" si="14"/>
        <v>0</v>
      </c>
      <c r="V153" s="161"/>
    </row>
    <row r="154" spans="3:22">
      <c r="C154" s="358">
        <v>153</v>
      </c>
      <c r="D154" s="301" t="s">
        <v>303</v>
      </c>
      <c r="E154" s="139" t="s">
        <v>304</v>
      </c>
      <c r="F154" s="66">
        <v>2</v>
      </c>
      <c r="G154" s="66" t="s">
        <v>770</v>
      </c>
      <c r="H154" s="74" t="s">
        <v>772</v>
      </c>
      <c r="I154" s="299">
        <f t="shared" si="10"/>
        <v>1</v>
      </c>
      <c r="K154" s="66">
        <f t="shared" si="11"/>
        <v>0</v>
      </c>
      <c r="L154" s="66">
        <f t="shared" si="12"/>
        <v>0</v>
      </c>
      <c r="M154" s="66"/>
      <c r="N154" s="307">
        <f t="shared" si="13"/>
        <v>0</v>
      </c>
      <c r="P154" s="284" t="s">
        <v>303</v>
      </c>
      <c r="Q154" s="139" t="s">
        <v>1731</v>
      </c>
      <c r="R154" s="66">
        <v>2</v>
      </c>
      <c r="S154" s="66" t="s">
        <v>770</v>
      </c>
      <c r="T154" s="74" t="s">
        <v>772</v>
      </c>
      <c r="U154" s="299">
        <f t="shared" si="14"/>
        <v>1</v>
      </c>
      <c r="V154" s="161"/>
    </row>
    <row r="155" spans="3:22">
      <c r="C155" s="358">
        <v>154</v>
      </c>
      <c r="D155" s="301" t="s">
        <v>602</v>
      </c>
      <c r="E155" s="139" t="s">
        <v>603</v>
      </c>
      <c r="F155" s="66">
        <v>1</v>
      </c>
      <c r="G155" s="66" t="s">
        <v>773</v>
      </c>
      <c r="H155" s="74" t="s">
        <v>771</v>
      </c>
      <c r="I155" s="299">
        <f t="shared" si="10"/>
        <v>0</v>
      </c>
      <c r="K155" s="66">
        <f t="shared" si="11"/>
        <v>0</v>
      </c>
      <c r="L155" s="66">
        <f t="shared" si="12"/>
        <v>0</v>
      </c>
      <c r="M155" s="66"/>
      <c r="N155" s="307">
        <f t="shared" si="13"/>
        <v>0</v>
      </c>
      <c r="P155" s="284" t="s">
        <v>602</v>
      </c>
      <c r="Q155" s="139" t="s">
        <v>1883</v>
      </c>
      <c r="R155" s="66">
        <v>1</v>
      </c>
      <c r="S155" s="66" t="s">
        <v>773</v>
      </c>
      <c r="T155" s="74" t="s">
        <v>771</v>
      </c>
      <c r="U155" s="299">
        <f t="shared" si="14"/>
        <v>0</v>
      </c>
      <c r="V155" s="161"/>
    </row>
    <row r="156" spans="3:22">
      <c r="C156" s="358">
        <v>155</v>
      </c>
      <c r="D156" s="301" t="s">
        <v>600</v>
      </c>
      <c r="E156" s="139" t="s">
        <v>601</v>
      </c>
      <c r="F156" s="66">
        <v>2</v>
      </c>
      <c r="G156" s="66" t="s">
        <v>773</v>
      </c>
      <c r="H156" s="74" t="s">
        <v>771</v>
      </c>
      <c r="I156" s="299">
        <f t="shared" si="10"/>
        <v>0</v>
      </c>
      <c r="K156" s="66">
        <f t="shared" si="11"/>
        <v>0</v>
      </c>
      <c r="L156" s="66">
        <f t="shared" si="12"/>
        <v>0</v>
      </c>
      <c r="M156" s="66"/>
      <c r="N156" s="307">
        <f t="shared" si="13"/>
        <v>0</v>
      </c>
      <c r="P156" s="284" t="s">
        <v>600</v>
      </c>
      <c r="Q156" s="139" t="s">
        <v>1882</v>
      </c>
      <c r="R156" s="66">
        <v>2</v>
      </c>
      <c r="S156" s="66" t="s">
        <v>773</v>
      </c>
      <c r="T156" s="74" t="s">
        <v>771</v>
      </c>
      <c r="U156" s="299">
        <f t="shared" si="14"/>
        <v>0</v>
      </c>
      <c r="V156" s="161"/>
    </row>
    <row r="157" spans="3:22">
      <c r="C157" s="358">
        <v>156</v>
      </c>
      <c r="D157" s="301" t="s">
        <v>344</v>
      </c>
      <c r="E157" s="139" t="s">
        <v>345</v>
      </c>
      <c r="F157" s="66">
        <v>1</v>
      </c>
      <c r="G157" s="66" t="s">
        <v>773</v>
      </c>
      <c r="H157" s="74" t="s">
        <v>771</v>
      </c>
      <c r="I157" s="299">
        <f t="shared" si="10"/>
        <v>0</v>
      </c>
      <c r="K157" s="66">
        <f t="shared" si="11"/>
        <v>0</v>
      </c>
      <c r="L157" s="66">
        <f t="shared" si="12"/>
        <v>0</v>
      </c>
      <c r="M157" s="66"/>
      <c r="N157" s="307">
        <f t="shared" si="13"/>
        <v>0</v>
      </c>
      <c r="P157" s="284" t="s">
        <v>344</v>
      </c>
      <c r="Q157" s="139" t="s">
        <v>1752</v>
      </c>
      <c r="R157" s="66">
        <v>1</v>
      </c>
      <c r="S157" s="66" t="s">
        <v>773</v>
      </c>
      <c r="T157" s="74" t="s">
        <v>771</v>
      </c>
      <c r="U157" s="299">
        <f t="shared" si="14"/>
        <v>0</v>
      </c>
      <c r="V157" s="161"/>
    </row>
    <row r="158" spans="3:22">
      <c r="C158" s="358">
        <v>157</v>
      </c>
      <c r="D158" s="301" t="s">
        <v>679</v>
      </c>
      <c r="E158" s="139" t="s">
        <v>680</v>
      </c>
      <c r="F158" s="66">
        <v>2</v>
      </c>
      <c r="G158" s="66" t="s">
        <v>773</v>
      </c>
      <c r="H158" s="74" t="s">
        <v>771</v>
      </c>
      <c r="I158" s="299">
        <f t="shared" si="10"/>
        <v>0</v>
      </c>
      <c r="K158" s="66">
        <f t="shared" si="11"/>
        <v>0</v>
      </c>
      <c r="L158" s="66">
        <f t="shared" si="12"/>
        <v>0</v>
      </c>
      <c r="M158" s="66"/>
      <c r="N158" s="307">
        <f t="shared" si="13"/>
        <v>0</v>
      </c>
      <c r="P158" s="284" t="s">
        <v>679</v>
      </c>
      <c r="Q158" s="139" t="s">
        <v>1925</v>
      </c>
      <c r="R158" s="66">
        <v>2</v>
      </c>
      <c r="S158" s="66" t="s">
        <v>773</v>
      </c>
      <c r="T158" s="74" t="s">
        <v>771</v>
      </c>
      <c r="U158" s="299">
        <f t="shared" si="14"/>
        <v>0</v>
      </c>
      <c r="V158" s="161"/>
    </row>
    <row r="159" spans="3:22">
      <c r="C159" s="358">
        <v>158</v>
      </c>
      <c r="D159" s="301" t="s">
        <v>482</v>
      </c>
      <c r="E159" s="139" t="s">
        <v>483</v>
      </c>
      <c r="F159" s="66">
        <v>2</v>
      </c>
      <c r="G159" s="66" t="s">
        <v>773</v>
      </c>
      <c r="H159" s="74" t="s">
        <v>771</v>
      </c>
      <c r="I159" s="299">
        <f t="shared" si="10"/>
        <v>0</v>
      </c>
      <c r="K159" s="66">
        <f t="shared" si="11"/>
        <v>0</v>
      </c>
      <c r="L159" s="66">
        <f t="shared" si="12"/>
        <v>0</v>
      </c>
      <c r="M159" s="66"/>
      <c r="N159" s="307">
        <f t="shared" si="13"/>
        <v>0</v>
      </c>
      <c r="P159" s="284" t="s">
        <v>482</v>
      </c>
      <c r="Q159" s="139" t="s">
        <v>1823</v>
      </c>
      <c r="R159" s="66">
        <v>2</v>
      </c>
      <c r="S159" s="66" t="s">
        <v>773</v>
      </c>
      <c r="T159" s="74" t="s">
        <v>771</v>
      </c>
      <c r="U159" s="299">
        <f t="shared" si="14"/>
        <v>0</v>
      </c>
      <c r="V159" s="161"/>
    </row>
    <row r="160" spans="3:22">
      <c r="C160" s="358">
        <v>159</v>
      </c>
      <c r="D160" s="301" t="s">
        <v>560</v>
      </c>
      <c r="E160" s="139" t="s">
        <v>561</v>
      </c>
      <c r="F160" s="66">
        <v>2</v>
      </c>
      <c r="G160" s="66" t="s">
        <v>770</v>
      </c>
      <c r="H160" s="74" t="s">
        <v>772</v>
      </c>
      <c r="I160" s="299">
        <f t="shared" si="10"/>
        <v>1</v>
      </c>
      <c r="K160" s="66">
        <f t="shared" si="11"/>
        <v>0</v>
      </c>
      <c r="L160" s="66">
        <f t="shared" si="12"/>
        <v>0</v>
      </c>
      <c r="M160" s="66"/>
      <c r="N160" s="307">
        <f t="shared" si="13"/>
        <v>0</v>
      </c>
      <c r="P160" s="284" t="s">
        <v>560</v>
      </c>
      <c r="Q160" s="139" t="s">
        <v>1862</v>
      </c>
      <c r="R160" s="66">
        <v>2</v>
      </c>
      <c r="S160" s="66" t="s">
        <v>770</v>
      </c>
      <c r="T160" s="74" t="s">
        <v>772</v>
      </c>
      <c r="U160" s="299">
        <f t="shared" si="14"/>
        <v>1</v>
      </c>
      <c r="V160" s="161"/>
    </row>
    <row r="161" spans="3:22">
      <c r="C161" s="358">
        <v>160</v>
      </c>
      <c r="D161" s="301" t="s">
        <v>578</v>
      </c>
      <c r="E161" s="139" t="s">
        <v>579</v>
      </c>
      <c r="F161" s="66">
        <v>1</v>
      </c>
      <c r="G161" s="66" t="s">
        <v>773</v>
      </c>
      <c r="H161" s="74" t="s">
        <v>771</v>
      </c>
      <c r="I161" s="299">
        <f t="shared" si="10"/>
        <v>0</v>
      </c>
      <c r="K161" s="66">
        <f t="shared" si="11"/>
        <v>0</v>
      </c>
      <c r="L161" s="66">
        <f t="shared" si="12"/>
        <v>0</v>
      </c>
      <c r="M161" s="66"/>
      <c r="N161" s="307">
        <f t="shared" si="13"/>
        <v>0</v>
      </c>
      <c r="P161" s="284" t="s">
        <v>578</v>
      </c>
      <c r="Q161" s="139" t="s">
        <v>1871</v>
      </c>
      <c r="R161" s="66">
        <v>1</v>
      </c>
      <c r="S161" s="66" t="s">
        <v>773</v>
      </c>
      <c r="T161" s="74" t="s">
        <v>771</v>
      </c>
      <c r="U161" s="299">
        <f t="shared" si="14"/>
        <v>0</v>
      </c>
      <c r="V161" s="161"/>
    </row>
    <row r="162" spans="3:22">
      <c r="C162" s="358">
        <v>161</v>
      </c>
      <c r="D162" s="301" t="s">
        <v>305</v>
      </c>
      <c r="E162" s="139" t="s">
        <v>306</v>
      </c>
      <c r="F162" s="66">
        <v>2</v>
      </c>
      <c r="G162" s="66" t="s">
        <v>773</v>
      </c>
      <c r="H162" s="74" t="s">
        <v>771</v>
      </c>
      <c r="I162" s="299">
        <f t="shared" si="10"/>
        <v>0</v>
      </c>
      <c r="K162" s="66">
        <f t="shared" si="11"/>
        <v>0</v>
      </c>
      <c r="L162" s="66">
        <f t="shared" si="12"/>
        <v>0</v>
      </c>
      <c r="M162" s="66"/>
      <c r="N162" s="307">
        <f t="shared" si="13"/>
        <v>0</v>
      </c>
      <c r="P162" s="284" t="s">
        <v>305</v>
      </c>
      <c r="Q162" s="139" t="s">
        <v>1732</v>
      </c>
      <c r="R162" s="66">
        <v>2</v>
      </c>
      <c r="S162" s="66" t="s">
        <v>773</v>
      </c>
      <c r="T162" s="74" t="s">
        <v>771</v>
      </c>
      <c r="U162" s="299">
        <f t="shared" si="14"/>
        <v>0</v>
      </c>
      <c r="V162" s="161"/>
    </row>
    <row r="163" spans="3:22">
      <c r="C163" s="358">
        <v>162</v>
      </c>
      <c r="D163" s="301" t="s">
        <v>422</v>
      </c>
      <c r="E163" s="139" t="s">
        <v>423</v>
      </c>
      <c r="F163" s="66">
        <v>2</v>
      </c>
      <c r="G163" s="66" t="s">
        <v>770</v>
      </c>
      <c r="H163" s="74" t="s">
        <v>771</v>
      </c>
      <c r="I163" s="299">
        <f t="shared" si="10"/>
        <v>1</v>
      </c>
      <c r="K163" s="66">
        <f t="shared" si="11"/>
        <v>0</v>
      </c>
      <c r="L163" s="66">
        <f t="shared" si="12"/>
        <v>0</v>
      </c>
      <c r="M163" s="66"/>
      <c r="N163" s="307">
        <f t="shared" si="13"/>
        <v>0</v>
      </c>
      <c r="P163" s="284" t="s">
        <v>422</v>
      </c>
      <c r="Q163" s="139" t="s">
        <v>1794</v>
      </c>
      <c r="R163" s="66">
        <v>2</v>
      </c>
      <c r="S163" s="66" t="s">
        <v>770</v>
      </c>
      <c r="T163" s="74" t="s">
        <v>771</v>
      </c>
      <c r="U163" s="299">
        <f t="shared" si="14"/>
        <v>1</v>
      </c>
      <c r="V163" s="161"/>
    </row>
    <row r="164" spans="3:22">
      <c r="C164" s="358">
        <v>163</v>
      </c>
      <c r="D164" s="301" t="s">
        <v>289</v>
      </c>
      <c r="E164" s="139" t="s">
        <v>290</v>
      </c>
      <c r="F164" s="66">
        <v>1</v>
      </c>
      <c r="G164" s="66" t="s">
        <v>773</v>
      </c>
      <c r="H164" s="74" t="s">
        <v>771</v>
      </c>
      <c r="I164" s="299">
        <f t="shared" si="10"/>
        <v>0</v>
      </c>
      <c r="K164" s="66">
        <f t="shared" si="11"/>
        <v>0</v>
      </c>
      <c r="L164" s="66">
        <f t="shared" si="12"/>
        <v>0</v>
      </c>
      <c r="M164" s="66"/>
      <c r="N164" s="307">
        <f t="shared" si="13"/>
        <v>0</v>
      </c>
      <c r="P164" s="284" t="s">
        <v>289</v>
      </c>
      <c r="Q164" s="139" t="s">
        <v>1724</v>
      </c>
      <c r="R164" s="66">
        <v>1</v>
      </c>
      <c r="S164" s="66" t="s">
        <v>773</v>
      </c>
      <c r="T164" s="74" t="s">
        <v>771</v>
      </c>
      <c r="U164" s="299">
        <f t="shared" si="14"/>
        <v>0</v>
      </c>
      <c r="V164" s="161"/>
    </row>
    <row r="165" spans="3:22">
      <c r="C165" s="358">
        <v>164</v>
      </c>
      <c r="D165" s="301" t="s">
        <v>420</v>
      </c>
      <c r="E165" s="139" t="s">
        <v>421</v>
      </c>
      <c r="F165" s="66">
        <v>2</v>
      </c>
      <c r="G165" s="66" t="s">
        <v>773</v>
      </c>
      <c r="H165" s="74" t="s">
        <v>771</v>
      </c>
      <c r="I165" s="299">
        <f t="shared" si="10"/>
        <v>0</v>
      </c>
      <c r="K165" s="66">
        <f t="shared" si="11"/>
        <v>0</v>
      </c>
      <c r="L165" s="66">
        <f t="shared" si="12"/>
        <v>0</v>
      </c>
      <c r="M165" s="66"/>
      <c r="N165" s="307">
        <f t="shared" si="13"/>
        <v>0</v>
      </c>
      <c r="P165" s="284" t="s">
        <v>420</v>
      </c>
      <c r="Q165" s="139" t="s">
        <v>1793</v>
      </c>
      <c r="R165" s="66">
        <v>2</v>
      </c>
      <c r="S165" s="66" t="s">
        <v>773</v>
      </c>
      <c r="T165" s="74" t="s">
        <v>771</v>
      </c>
      <c r="U165" s="299">
        <f t="shared" si="14"/>
        <v>0</v>
      </c>
      <c r="V165" s="161"/>
    </row>
    <row r="166" spans="3:22">
      <c r="C166" s="358">
        <v>165</v>
      </c>
      <c r="D166" s="301" t="s">
        <v>737</v>
      </c>
      <c r="E166" s="139" t="s">
        <v>738</v>
      </c>
      <c r="F166" s="66">
        <v>2</v>
      </c>
      <c r="G166" s="66" t="s">
        <v>773</v>
      </c>
      <c r="H166" s="74" t="s">
        <v>771</v>
      </c>
      <c r="I166" s="299">
        <f t="shared" si="10"/>
        <v>0</v>
      </c>
      <c r="K166" s="66">
        <f t="shared" si="11"/>
        <v>0</v>
      </c>
      <c r="L166" s="66">
        <f t="shared" si="12"/>
        <v>0</v>
      </c>
      <c r="M166" s="66"/>
      <c r="N166" s="307">
        <f t="shared" si="13"/>
        <v>0</v>
      </c>
      <c r="P166" s="284" t="s">
        <v>737</v>
      </c>
      <c r="Q166" s="139" t="s">
        <v>1956</v>
      </c>
      <c r="R166" s="66">
        <v>2</v>
      </c>
      <c r="S166" s="66" t="s">
        <v>773</v>
      </c>
      <c r="T166" s="74" t="s">
        <v>771</v>
      </c>
      <c r="U166" s="299">
        <f t="shared" si="14"/>
        <v>0</v>
      </c>
      <c r="V166" s="161"/>
    </row>
    <row r="167" spans="3:22">
      <c r="C167" s="358">
        <v>166</v>
      </c>
      <c r="D167" s="301" t="s">
        <v>683</v>
      </c>
      <c r="E167" s="139" t="s">
        <v>684</v>
      </c>
      <c r="F167" s="66">
        <v>2</v>
      </c>
      <c r="G167" s="66" t="s">
        <v>773</v>
      </c>
      <c r="H167" s="74" t="s">
        <v>771</v>
      </c>
      <c r="I167" s="299">
        <f t="shared" si="10"/>
        <v>0</v>
      </c>
      <c r="K167" s="66">
        <f t="shared" si="11"/>
        <v>0</v>
      </c>
      <c r="L167" s="66">
        <f t="shared" si="12"/>
        <v>0</v>
      </c>
      <c r="M167" s="66"/>
      <c r="N167" s="307">
        <f t="shared" si="13"/>
        <v>0</v>
      </c>
      <c r="P167" s="284" t="s">
        <v>683</v>
      </c>
      <c r="Q167" s="139" t="s">
        <v>1927</v>
      </c>
      <c r="R167" s="66">
        <v>2</v>
      </c>
      <c r="S167" s="66" t="s">
        <v>773</v>
      </c>
      <c r="T167" s="74" t="s">
        <v>771</v>
      </c>
      <c r="U167" s="299">
        <f t="shared" si="14"/>
        <v>0</v>
      </c>
      <c r="V167" s="161"/>
    </row>
    <row r="168" spans="3:22">
      <c r="C168" s="358">
        <v>167</v>
      </c>
      <c r="D168" s="301" t="s">
        <v>558</v>
      </c>
      <c r="E168" s="139" t="s">
        <v>559</v>
      </c>
      <c r="F168" s="66">
        <v>2</v>
      </c>
      <c r="G168" s="66" t="s">
        <v>770</v>
      </c>
      <c r="H168" s="74" t="s">
        <v>772</v>
      </c>
      <c r="I168" s="299">
        <f t="shared" si="10"/>
        <v>1</v>
      </c>
      <c r="K168" s="66">
        <f t="shared" si="11"/>
        <v>0</v>
      </c>
      <c r="L168" s="66">
        <f t="shared" si="12"/>
        <v>0</v>
      </c>
      <c r="M168" s="66"/>
      <c r="N168" s="307">
        <f t="shared" si="13"/>
        <v>0</v>
      </c>
      <c r="P168" s="284" t="s">
        <v>558</v>
      </c>
      <c r="Q168" s="139" t="s">
        <v>1861</v>
      </c>
      <c r="R168" s="66">
        <v>2</v>
      </c>
      <c r="S168" s="66" t="s">
        <v>770</v>
      </c>
      <c r="T168" s="74" t="s">
        <v>772</v>
      </c>
      <c r="U168" s="299">
        <f t="shared" si="14"/>
        <v>1</v>
      </c>
      <c r="V168" s="161"/>
    </row>
    <row r="169" spans="3:22">
      <c r="C169" s="358">
        <v>168</v>
      </c>
      <c r="D169" s="301" t="s">
        <v>554</v>
      </c>
      <c r="E169" s="139" t="s">
        <v>555</v>
      </c>
      <c r="F169" s="66">
        <v>1</v>
      </c>
      <c r="G169" s="66" t="s">
        <v>773</v>
      </c>
      <c r="H169" s="74" t="s">
        <v>771</v>
      </c>
      <c r="I169" s="299">
        <f t="shared" si="10"/>
        <v>0</v>
      </c>
      <c r="K169" s="66">
        <f t="shared" si="11"/>
        <v>0</v>
      </c>
      <c r="L169" s="66">
        <f t="shared" si="12"/>
        <v>0</v>
      </c>
      <c r="M169" s="66"/>
      <c r="N169" s="307">
        <f t="shared" si="13"/>
        <v>0</v>
      </c>
      <c r="P169" s="284" t="s">
        <v>554</v>
      </c>
      <c r="Q169" s="139" t="s">
        <v>1859</v>
      </c>
      <c r="R169" s="66">
        <v>1</v>
      </c>
      <c r="S169" s="66" t="s">
        <v>773</v>
      </c>
      <c r="T169" s="74" t="s">
        <v>771</v>
      </c>
      <c r="U169" s="299">
        <f t="shared" si="14"/>
        <v>0</v>
      </c>
      <c r="V169" s="161"/>
    </row>
    <row r="170" spans="3:22">
      <c r="C170" s="358">
        <v>169</v>
      </c>
      <c r="D170" s="309" t="s">
        <v>1176</v>
      </c>
      <c r="E170" t="s">
        <v>1188</v>
      </c>
      <c r="F170" s="66">
        <v>2</v>
      </c>
      <c r="G170" s="66" t="s">
        <v>773</v>
      </c>
      <c r="H170" s="74" t="s">
        <v>771</v>
      </c>
      <c r="I170" s="299">
        <f t="shared" si="10"/>
        <v>0</v>
      </c>
      <c r="K170" s="66">
        <f t="shared" si="11"/>
        <v>0</v>
      </c>
      <c r="L170" s="66">
        <f t="shared" si="12"/>
        <v>0</v>
      </c>
      <c r="M170" s="66"/>
      <c r="N170" s="307">
        <f t="shared" si="13"/>
        <v>0</v>
      </c>
      <c r="P170" s="294" t="s">
        <v>1176</v>
      </c>
      <c r="Q170" t="s">
        <v>1768</v>
      </c>
      <c r="R170" s="66">
        <v>2</v>
      </c>
      <c r="S170" s="66" t="s">
        <v>773</v>
      </c>
      <c r="T170" s="74" t="s">
        <v>771</v>
      </c>
      <c r="U170" s="299">
        <f t="shared" si="14"/>
        <v>0</v>
      </c>
      <c r="V170" s="161"/>
    </row>
    <row r="171" spans="3:22">
      <c r="C171" s="358">
        <v>170</v>
      </c>
      <c r="D171" s="301" t="s">
        <v>568</v>
      </c>
      <c r="E171" s="139" t="s">
        <v>569</v>
      </c>
      <c r="F171" s="66">
        <v>1</v>
      </c>
      <c r="G171" s="66" t="s">
        <v>773</v>
      </c>
      <c r="H171" s="74" t="s">
        <v>771</v>
      </c>
      <c r="I171" s="299">
        <f t="shared" si="10"/>
        <v>0</v>
      </c>
      <c r="K171" s="66">
        <f t="shared" si="11"/>
        <v>0</v>
      </c>
      <c r="L171" s="66">
        <f t="shared" si="12"/>
        <v>0</v>
      </c>
      <c r="M171" s="66"/>
      <c r="N171" s="307">
        <f t="shared" si="13"/>
        <v>0</v>
      </c>
      <c r="P171" s="284" t="s">
        <v>568</v>
      </c>
      <c r="Q171" s="139" t="s">
        <v>1866</v>
      </c>
      <c r="R171" s="66">
        <v>1</v>
      </c>
      <c r="S171" s="66" t="s">
        <v>773</v>
      </c>
      <c r="T171" s="74" t="s">
        <v>771</v>
      </c>
      <c r="U171" s="299">
        <f t="shared" si="14"/>
        <v>0</v>
      </c>
      <c r="V171" s="161"/>
    </row>
    <row r="172" spans="3:22">
      <c r="C172" s="358">
        <v>171</v>
      </c>
      <c r="D172" s="301" t="s">
        <v>713</v>
      </c>
      <c r="E172" s="139" t="s">
        <v>714</v>
      </c>
      <c r="F172" s="66">
        <v>2</v>
      </c>
      <c r="G172" s="66" t="s">
        <v>773</v>
      </c>
      <c r="H172" s="74" t="s">
        <v>771</v>
      </c>
      <c r="I172" s="299">
        <f t="shared" si="10"/>
        <v>0</v>
      </c>
      <c r="K172" s="66">
        <f t="shared" si="11"/>
        <v>0</v>
      </c>
      <c r="L172" s="66">
        <f t="shared" si="12"/>
        <v>0</v>
      </c>
      <c r="M172" s="66"/>
      <c r="N172" s="307">
        <f t="shared" si="13"/>
        <v>0</v>
      </c>
      <c r="P172" s="284" t="s">
        <v>713</v>
      </c>
      <c r="Q172" s="139" t="s">
        <v>1943</v>
      </c>
      <c r="R172" s="66">
        <v>2</v>
      </c>
      <c r="S172" s="66" t="s">
        <v>773</v>
      </c>
      <c r="T172" s="74" t="s">
        <v>771</v>
      </c>
      <c r="U172" s="299">
        <f t="shared" si="14"/>
        <v>0</v>
      </c>
      <c r="V172" s="161"/>
    </row>
    <row r="173" spans="3:22">
      <c r="C173" s="358">
        <v>172</v>
      </c>
      <c r="D173" s="301" t="s">
        <v>416</v>
      </c>
      <c r="E173" s="139" t="s">
        <v>417</v>
      </c>
      <c r="F173" s="66">
        <v>2</v>
      </c>
      <c r="G173" s="66" t="s">
        <v>773</v>
      </c>
      <c r="H173" s="74" t="s">
        <v>771</v>
      </c>
      <c r="I173" s="299">
        <f t="shared" si="10"/>
        <v>0</v>
      </c>
      <c r="K173" s="66">
        <f t="shared" si="11"/>
        <v>0</v>
      </c>
      <c r="L173" s="66">
        <f t="shared" si="12"/>
        <v>0</v>
      </c>
      <c r="M173" s="66"/>
      <c r="N173" s="307">
        <f t="shared" si="13"/>
        <v>0</v>
      </c>
      <c r="P173" s="284" t="s">
        <v>416</v>
      </c>
      <c r="Q173" s="139" t="s">
        <v>1791</v>
      </c>
      <c r="R173" s="66">
        <v>2</v>
      </c>
      <c r="S173" s="66" t="s">
        <v>773</v>
      </c>
      <c r="T173" s="74" t="s">
        <v>771</v>
      </c>
      <c r="U173" s="299">
        <f t="shared" si="14"/>
        <v>0</v>
      </c>
      <c r="V173" s="161"/>
    </row>
    <row r="174" spans="3:22">
      <c r="C174" s="358">
        <v>173</v>
      </c>
      <c r="D174" s="301" t="s">
        <v>494</v>
      </c>
      <c r="E174" s="139" t="s">
        <v>976</v>
      </c>
      <c r="F174" s="66">
        <v>2</v>
      </c>
      <c r="G174" s="66" t="s">
        <v>770</v>
      </c>
      <c r="H174" s="74" t="s">
        <v>771</v>
      </c>
      <c r="I174" s="299">
        <f t="shared" si="10"/>
        <v>1</v>
      </c>
      <c r="K174" s="66">
        <f t="shared" si="11"/>
        <v>0</v>
      </c>
      <c r="L174" s="66">
        <f t="shared" si="12"/>
        <v>0</v>
      </c>
      <c r="M174" s="66"/>
      <c r="N174" s="307">
        <f t="shared" si="13"/>
        <v>0</v>
      </c>
      <c r="P174" s="284" t="s">
        <v>494</v>
      </c>
      <c r="Q174" s="139" t="s">
        <v>1829</v>
      </c>
      <c r="R174" s="66">
        <v>2</v>
      </c>
      <c r="S174" s="66" t="s">
        <v>770</v>
      </c>
      <c r="T174" s="74" t="s">
        <v>771</v>
      </c>
      <c r="U174" s="299">
        <f t="shared" si="14"/>
        <v>1</v>
      </c>
      <c r="V174" s="161"/>
    </row>
    <row r="175" spans="3:22">
      <c r="C175" s="358">
        <v>174</v>
      </c>
      <c r="D175" s="301" t="s">
        <v>472</v>
      </c>
      <c r="E175" s="139" t="s">
        <v>473</v>
      </c>
      <c r="F175" s="66">
        <v>2</v>
      </c>
      <c r="G175" s="66" t="s">
        <v>773</v>
      </c>
      <c r="H175" s="74" t="s">
        <v>772</v>
      </c>
      <c r="I175" s="299">
        <f t="shared" si="10"/>
        <v>0</v>
      </c>
      <c r="K175" s="66">
        <f t="shared" si="11"/>
        <v>0</v>
      </c>
      <c r="L175" s="66">
        <f t="shared" si="12"/>
        <v>0</v>
      </c>
      <c r="M175" s="66"/>
      <c r="N175" s="307">
        <f t="shared" si="13"/>
        <v>0</v>
      </c>
      <c r="P175" s="284" t="s">
        <v>472</v>
      </c>
      <c r="Q175" s="139" t="s">
        <v>2394</v>
      </c>
      <c r="R175" s="66">
        <v>2</v>
      </c>
      <c r="S175" s="66" t="s">
        <v>773</v>
      </c>
      <c r="T175" s="74" t="s">
        <v>772</v>
      </c>
      <c r="U175" s="299">
        <f t="shared" si="14"/>
        <v>0</v>
      </c>
      <c r="V175" s="161"/>
    </row>
    <row r="176" spans="3:22">
      <c r="C176" s="358">
        <v>175</v>
      </c>
      <c r="D176" s="301" t="s">
        <v>499</v>
      </c>
      <c r="E176" s="139" t="s">
        <v>500</v>
      </c>
      <c r="F176" s="66">
        <v>2</v>
      </c>
      <c r="G176" s="66" t="s">
        <v>773</v>
      </c>
      <c r="H176" s="74" t="s">
        <v>771</v>
      </c>
      <c r="I176" s="299">
        <f t="shared" si="10"/>
        <v>0</v>
      </c>
      <c r="K176" s="66">
        <f t="shared" si="11"/>
        <v>0</v>
      </c>
      <c r="L176" s="66">
        <f t="shared" si="12"/>
        <v>0</v>
      </c>
      <c r="M176" s="66"/>
      <c r="N176" s="307">
        <f t="shared" si="13"/>
        <v>0</v>
      </c>
      <c r="P176" s="284" t="s">
        <v>499</v>
      </c>
      <c r="Q176" s="139" t="s">
        <v>1832</v>
      </c>
      <c r="R176" s="66">
        <v>2</v>
      </c>
      <c r="S176" s="66" t="s">
        <v>773</v>
      </c>
      <c r="T176" s="74" t="s">
        <v>771</v>
      </c>
      <c r="U176" s="299">
        <f t="shared" si="14"/>
        <v>0</v>
      </c>
      <c r="V176" s="161"/>
    </row>
    <row r="177" spans="3:22">
      <c r="C177" s="358">
        <v>176</v>
      </c>
      <c r="D177" s="301" t="s">
        <v>598</v>
      </c>
      <c r="E177" s="139" t="s">
        <v>599</v>
      </c>
      <c r="F177" s="66">
        <v>2</v>
      </c>
      <c r="G177" s="66" t="s">
        <v>773</v>
      </c>
      <c r="H177" s="74" t="s">
        <v>771</v>
      </c>
      <c r="I177" s="299">
        <f t="shared" si="10"/>
        <v>0</v>
      </c>
      <c r="K177" s="66">
        <f t="shared" si="11"/>
        <v>0</v>
      </c>
      <c r="L177" s="66">
        <f t="shared" si="12"/>
        <v>0</v>
      </c>
      <c r="M177" s="66"/>
      <c r="N177" s="307">
        <f t="shared" si="13"/>
        <v>0</v>
      </c>
      <c r="P177" s="284" t="s">
        <v>598</v>
      </c>
      <c r="Q177" s="139" t="s">
        <v>1881</v>
      </c>
      <c r="R177" s="66">
        <v>2</v>
      </c>
      <c r="S177" s="66" t="s">
        <v>773</v>
      </c>
      <c r="T177" s="74" t="s">
        <v>771</v>
      </c>
      <c r="U177" s="299">
        <f t="shared" si="14"/>
        <v>0</v>
      </c>
      <c r="V177" s="161"/>
    </row>
    <row r="178" spans="3:22">
      <c r="C178" s="358">
        <v>177</v>
      </c>
      <c r="D178" s="301" t="s">
        <v>681</v>
      </c>
      <c r="E178" s="139" t="s">
        <v>682</v>
      </c>
      <c r="F178" s="66">
        <v>2</v>
      </c>
      <c r="G178" s="66" t="s">
        <v>773</v>
      </c>
      <c r="H178" s="74" t="s">
        <v>771</v>
      </c>
      <c r="I178" s="299">
        <f t="shared" si="10"/>
        <v>0</v>
      </c>
      <c r="K178" s="66">
        <f t="shared" si="11"/>
        <v>0</v>
      </c>
      <c r="L178" s="66">
        <f t="shared" si="12"/>
        <v>0</v>
      </c>
      <c r="M178" s="66"/>
      <c r="N178" s="307">
        <f t="shared" si="13"/>
        <v>0</v>
      </c>
      <c r="P178" s="284" t="s">
        <v>681</v>
      </c>
      <c r="Q178" s="139" t="s">
        <v>1926</v>
      </c>
      <c r="R178" s="66">
        <v>2</v>
      </c>
      <c r="S178" s="66" t="s">
        <v>773</v>
      </c>
      <c r="T178" s="74" t="s">
        <v>771</v>
      </c>
      <c r="U178" s="299">
        <f t="shared" si="14"/>
        <v>0</v>
      </c>
      <c r="V178" s="161"/>
    </row>
    <row r="179" spans="3:22">
      <c r="C179" s="358">
        <v>178</v>
      </c>
      <c r="D179" s="301" t="s">
        <v>301</v>
      </c>
      <c r="E179" s="139" t="s">
        <v>302</v>
      </c>
      <c r="F179" s="66">
        <v>2</v>
      </c>
      <c r="G179" s="66" t="s">
        <v>770</v>
      </c>
      <c r="H179" s="74" t="s">
        <v>771</v>
      </c>
      <c r="I179" s="299">
        <f t="shared" si="10"/>
        <v>1</v>
      </c>
      <c r="K179" s="66">
        <f t="shared" si="11"/>
        <v>0</v>
      </c>
      <c r="L179" s="66">
        <f t="shared" si="12"/>
        <v>0</v>
      </c>
      <c r="M179" s="66"/>
      <c r="N179" s="307">
        <f t="shared" si="13"/>
        <v>0</v>
      </c>
      <c r="P179" s="284" t="s">
        <v>301</v>
      </c>
      <c r="Q179" s="139" t="s">
        <v>1730</v>
      </c>
      <c r="R179" s="66">
        <v>2</v>
      </c>
      <c r="S179" s="66" t="s">
        <v>770</v>
      </c>
      <c r="T179" s="74" t="s">
        <v>771</v>
      </c>
      <c r="U179" s="299">
        <f t="shared" si="14"/>
        <v>1</v>
      </c>
      <c r="V179" s="161"/>
    </row>
    <row r="180" spans="3:22">
      <c r="C180" s="358">
        <v>179</v>
      </c>
      <c r="D180" s="301" t="s">
        <v>269</v>
      </c>
      <c r="E180" s="139" t="s">
        <v>270</v>
      </c>
      <c r="F180" s="66">
        <v>1</v>
      </c>
      <c r="G180" s="66" t="s">
        <v>773</v>
      </c>
      <c r="H180" s="74" t="s">
        <v>771</v>
      </c>
      <c r="I180" s="299">
        <f t="shared" si="10"/>
        <v>0</v>
      </c>
      <c r="K180" s="66">
        <f t="shared" si="11"/>
        <v>0</v>
      </c>
      <c r="L180" s="66">
        <f t="shared" si="12"/>
        <v>0</v>
      </c>
      <c r="M180" s="66"/>
      <c r="N180" s="307">
        <f t="shared" si="13"/>
        <v>0</v>
      </c>
      <c r="P180" s="284" t="s">
        <v>269</v>
      </c>
      <c r="Q180" s="139" t="s">
        <v>1714</v>
      </c>
      <c r="R180" s="66">
        <v>1</v>
      </c>
      <c r="S180" s="66" t="s">
        <v>773</v>
      </c>
      <c r="T180" s="74" t="s">
        <v>771</v>
      </c>
      <c r="U180" s="299">
        <f t="shared" si="14"/>
        <v>0</v>
      </c>
      <c r="V180" s="161"/>
    </row>
    <row r="181" spans="3:22">
      <c r="C181" s="358">
        <v>180</v>
      </c>
      <c r="D181" s="301" t="s">
        <v>378</v>
      </c>
      <c r="E181" s="139" t="s">
        <v>379</v>
      </c>
      <c r="F181" s="66">
        <v>1</v>
      </c>
      <c r="G181" s="66" t="s">
        <v>773</v>
      </c>
      <c r="H181" s="74" t="s">
        <v>771</v>
      </c>
      <c r="I181" s="299">
        <f t="shared" si="10"/>
        <v>0</v>
      </c>
      <c r="K181" s="66">
        <f t="shared" si="11"/>
        <v>0</v>
      </c>
      <c r="L181" s="66">
        <f t="shared" si="12"/>
        <v>0</v>
      </c>
      <c r="M181" s="66"/>
      <c r="N181" s="307">
        <f t="shared" si="13"/>
        <v>0</v>
      </c>
      <c r="P181" s="284" t="s">
        <v>378</v>
      </c>
      <c r="Q181" s="139" t="s">
        <v>1771</v>
      </c>
      <c r="R181" s="66">
        <v>1</v>
      </c>
      <c r="S181" s="66" t="s">
        <v>773</v>
      </c>
      <c r="T181" s="74" t="s">
        <v>771</v>
      </c>
      <c r="U181" s="299">
        <f t="shared" si="14"/>
        <v>0</v>
      </c>
      <c r="V181" s="161"/>
    </row>
    <row r="182" spans="3:22">
      <c r="C182" s="358">
        <v>181</v>
      </c>
      <c r="D182" s="301" t="s">
        <v>468</v>
      </c>
      <c r="E182" s="139" t="s">
        <v>469</v>
      </c>
      <c r="F182" s="66">
        <v>1</v>
      </c>
      <c r="G182" s="66" t="s">
        <v>773</v>
      </c>
      <c r="H182" s="74" t="s">
        <v>771</v>
      </c>
      <c r="I182" s="299">
        <f t="shared" si="10"/>
        <v>0</v>
      </c>
      <c r="K182" s="66">
        <f t="shared" si="11"/>
        <v>0</v>
      </c>
      <c r="L182" s="66">
        <f t="shared" si="12"/>
        <v>0</v>
      </c>
      <c r="M182" s="66"/>
      <c r="N182" s="307">
        <f t="shared" si="13"/>
        <v>0</v>
      </c>
      <c r="P182" s="284" t="s">
        <v>468</v>
      </c>
      <c r="Q182" s="139" t="s">
        <v>1817</v>
      </c>
      <c r="R182" s="66">
        <v>1</v>
      </c>
      <c r="S182" s="66" t="s">
        <v>773</v>
      </c>
      <c r="T182" s="74" t="s">
        <v>771</v>
      </c>
      <c r="U182" s="299">
        <f t="shared" si="14"/>
        <v>0</v>
      </c>
      <c r="V182" s="161"/>
    </row>
    <row r="183" spans="3:22">
      <c r="C183" s="358">
        <v>182</v>
      </c>
      <c r="D183" s="301" t="s">
        <v>497</v>
      </c>
      <c r="E183" s="139" t="s">
        <v>498</v>
      </c>
      <c r="F183" s="66">
        <v>2</v>
      </c>
      <c r="G183" s="66" t="s">
        <v>770</v>
      </c>
      <c r="H183" s="74" t="s">
        <v>771</v>
      </c>
      <c r="I183" s="299">
        <f t="shared" si="10"/>
        <v>1</v>
      </c>
      <c r="K183" s="66">
        <f t="shared" si="11"/>
        <v>0</v>
      </c>
      <c r="L183" s="66">
        <f t="shared" si="12"/>
        <v>0</v>
      </c>
      <c r="M183" s="66"/>
      <c r="N183" s="307">
        <f t="shared" si="13"/>
        <v>0</v>
      </c>
      <c r="P183" s="284" t="s">
        <v>497</v>
      </c>
      <c r="Q183" s="139" t="s">
        <v>1831</v>
      </c>
      <c r="R183" s="66">
        <v>2</v>
      </c>
      <c r="S183" s="66" t="s">
        <v>770</v>
      </c>
      <c r="T183" s="74" t="s">
        <v>771</v>
      </c>
      <c r="U183" s="299">
        <f t="shared" si="14"/>
        <v>1</v>
      </c>
      <c r="V183" s="161"/>
    </row>
    <row r="184" spans="3:22">
      <c r="C184" s="358">
        <v>183</v>
      </c>
      <c r="D184" s="301" t="s">
        <v>642</v>
      </c>
      <c r="E184" s="139" t="s">
        <v>643</v>
      </c>
      <c r="F184" s="66">
        <v>1</v>
      </c>
      <c r="G184" s="66" t="s">
        <v>773</v>
      </c>
      <c r="H184" s="74" t="s">
        <v>771</v>
      </c>
      <c r="I184" s="299">
        <f t="shared" si="10"/>
        <v>0</v>
      </c>
      <c r="K184" s="66">
        <f t="shared" si="11"/>
        <v>0</v>
      </c>
      <c r="L184" s="66">
        <f t="shared" si="12"/>
        <v>0</v>
      </c>
      <c r="M184" s="66"/>
      <c r="N184" s="307">
        <f t="shared" si="13"/>
        <v>0</v>
      </c>
      <c r="P184" s="284" t="s">
        <v>642</v>
      </c>
      <c r="Q184" s="139" t="s">
        <v>1905</v>
      </c>
      <c r="R184" s="66">
        <v>1</v>
      </c>
      <c r="S184" s="66" t="s">
        <v>773</v>
      </c>
      <c r="T184" s="74" t="s">
        <v>771</v>
      </c>
      <c r="U184" s="299">
        <f t="shared" si="14"/>
        <v>0</v>
      </c>
      <c r="V184" s="161"/>
    </row>
    <row r="185" spans="3:22">
      <c r="C185" s="358">
        <v>184</v>
      </c>
      <c r="D185" s="301" t="s">
        <v>636</v>
      </c>
      <c r="E185" s="139" t="s">
        <v>637</v>
      </c>
      <c r="F185" s="66">
        <v>2</v>
      </c>
      <c r="G185" s="66" t="s">
        <v>770</v>
      </c>
      <c r="H185" s="74" t="s">
        <v>771</v>
      </c>
      <c r="I185" s="299">
        <f t="shared" si="10"/>
        <v>1</v>
      </c>
      <c r="K185" s="66">
        <f t="shared" si="11"/>
        <v>0</v>
      </c>
      <c r="L185" s="66">
        <f t="shared" si="12"/>
        <v>0</v>
      </c>
      <c r="M185" s="66"/>
      <c r="N185" s="307">
        <f t="shared" si="13"/>
        <v>0</v>
      </c>
      <c r="P185" s="284" t="s">
        <v>636</v>
      </c>
      <c r="Q185" s="139" t="s">
        <v>1902</v>
      </c>
      <c r="R185" s="66">
        <v>2</v>
      </c>
      <c r="S185" s="66" t="s">
        <v>770</v>
      </c>
      <c r="T185" s="74" t="s">
        <v>771</v>
      </c>
      <c r="U185" s="299">
        <f t="shared" si="14"/>
        <v>1</v>
      </c>
      <c r="V185" s="161"/>
    </row>
    <row r="186" spans="3:22">
      <c r="C186" s="358">
        <v>185</v>
      </c>
      <c r="D186" s="301" t="s">
        <v>372</v>
      </c>
      <c r="E186" s="139" t="s">
        <v>373</v>
      </c>
      <c r="F186" s="66">
        <v>1</v>
      </c>
      <c r="G186" s="66" t="s">
        <v>773</v>
      </c>
      <c r="H186" s="74" t="s">
        <v>771</v>
      </c>
      <c r="I186" s="299">
        <f t="shared" si="10"/>
        <v>0</v>
      </c>
      <c r="K186" s="66">
        <f t="shared" si="11"/>
        <v>0</v>
      </c>
      <c r="L186" s="66">
        <f t="shared" si="12"/>
        <v>0</v>
      </c>
      <c r="M186" s="66"/>
      <c r="N186" s="307">
        <f t="shared" si="13"/>
        <v>0</v>
      </c>
      <c r="P186" s="284" t="s">
        <v>372</v>
      </c>
      <c r="Q186" s="139" t="s">
        <v>1767</v>
      </c>
      <c r="R186" s="66">
        <v>1</v>
      </c>
      <c r="S186" s="66" t="s">
        <v>773</v>
      </c>
      <c r="T186" s="74" t="s">
        <v>771</v>
      </c>
      <c r="U186" s="299">
        <f t="shared" si="14"/>
        <v>0</v>
      </c>
      <c r="V186" s="161"/>
    </row>
    <row r="187" spans="3:22">
      <c r="C187" s="358">
        <v>186</v>
      </c>
      <c r="D187" s="301" t="s">
        <v>322</v>
      </c>
      <c r="E187" s="139" t="s">
        <v>323</v>
      </c>
      <c r="F187" s="66">
        <v>1</v>
      </c>
      <c r="G187" s="66" t="s">
        <v>773</v>
      </c>
      <c r="H187" s="74" t="s">
        <v>771</v>
      </c>
      <c r="I187" s="299">
        <f t="shared" si="10"/>
        <v>0</v>
      </c>
      <c r="K187" s="66">
        <f t="shared" si="11"/>
        <v>0</v>
      </c>
      <c r="L187" s="66">
        <f t="shared" si="12"/>
        <v>0</v>
      </c>
      <c r="M187" s="66"/>
      <c r="N187" s="307">
        <f t="shared" si="13"/>
        <v>0</v>
      </c>
      <c r="P187" s="284" t="s">
        <v>322</v>
      </c>
      <c r="Q187" s="139" t="s">
        <v>1741</v>
      </c>
      <c r="R187" s="66">
        <v>1</v>
      </c>
      <c r="S187" s="66" t="s">
        <v>773</v>
      </c>
      <c r="T187" s="74" t="s">
        <v>771</v>
      </c>
      <c r="U187" s="299">
        <f t="shared" si="14"/>
        <v>0</v>
      </c>
      <c r="V187" s="161"/>
    </row>
    <row r="188" spans="3:22">
      <c r="C188" s="358">
        <v>187</v>
      </c>
      <c r="D188" s="301" t="s">
        <v>709</v>
      </c>
      <c r="E188" s="139" t="s">
        <v>710</v>
      </c>
      <c r="F188" s="66">
        <v>2</v>
      </c>
      <c r="G188" s="66" t="s">
        <v>770</v>
      </c>
      <c r="H188" s="74" t="s">
        <v>771</v>
      </c>
      <c r="I188" s="299">
        <f t="shared" si="10"/>
        <v>1</v>
      </c>
      <c r="K188" s="66">
        <f t="shared" si="11"/>
        <v>0</v>
      </c>
      <c r="L188" s="66">
        <f t="shared" si="12"/>
        <v>0</v>
      </c>
      <c r="M188" s="66"/>
      <c r="N188" s="307">
        <f t="shared" si="13"/>
        <v>0</v>
      </c>
      <c r="P188" s="284" t="s">
        <v>709</v>
      </c>
      <c r="Q188" s="139" t="s">
        <v>1941</v>
      </c>
      <c r="R188" s="66">
        <v>2</v>
      </c>
      <c r="S188" s="66" t="s">
        <v>770</v>
      </c>
      <c r="T188" s="74" t="s">
        <v>771</v>
      </c>
      <c r="U188" s="299">
        <f t="shared" si="14"/>
        <v>1</v>
      </c>
      <c r="V188" s="161"/>
    </row>
    <row r="189" spans="3:22">
      <c r="C189" s="358">
        <v>188</v>
      </c>
      <c r="D189" s="301" t="s">
        <v>320</v>
      </c>
      <c r="E189" s="139" t="s">
        <v>321</v>
      </c>
      <c r="F189" s="66">
        <v>2</v>
      </c>
      <c r="G189" s="66" t="s">
        <v>773</v>
      </c>
      <c r="H189" s="74" t="s">
        <v>771</v>
      </c>
      <c r="I189" s="299">
        <f t="shared" si="10"/>
        <v>0</v>
      </c>
      <c r="K189" s="66">
        <f t="shared" si="11"/>
        <v>0</v>
      </c>
      <c r="L189" s="66">
        <f t="shared" si="12"/>
        <v>0</v>
      </c>
      <c r="M189" s="66"/>
      <c r="N189" s="307">
        <f t="shared" si="13"/>
        <v>0</v>
      </c>
      <c r="P189" s="284" t="s">
        <v>320</v>
      </c>
      <c r="Q189" s="139" t="s">
        <v>1740</v>
      </c>
      <c r="R189" s="66">
        <v>2</v>
      </c>
      <c r="S189" s="66" t="s">
        <v>773</v>
      </c>
      <c r="T189" s="74" t="s">
        <v>771</v>
      </c>
      <c r="U189" s="299">
        <f t="shared" si="14"/>
        <v>0</v>
      </c>
      <c r="V189" s="161"/>
    </row>
    <row r="190" spans="3:22">
      <c r="C190" s="358">
        <v>189</v>
      </c>
      <c r="D190" s="301" t="s">
        <v>488</v>
      </c>
      <c r="E190" s="139" t="s">
        <v>489</v>
      </c>
      <c r="F190" s="66">
        <v>2</v>
      </c>
      <c r="G190" s="66" t="s">
        <v>773</v>
      </c>
      <c r="H190" s="74" t="s">
        <v>771</v>
      </c>
      <c r="I190" s="299">
        <f t="shared" si="10"/>
        <v>0</v>
      </c>
      <c r="K190" s="66">
        <f t="shared" si="11"/>
        <v>0</v>
      </c>
      <c r="L190" s="66">
        <f t="shared" si="12"/>
        <v>0</v>
      </c>
      <c r="M190" s="66"/>
      <c r="N190" s="307">
        <f t="shared" si="13"/>
        <v>0</v>
      </c>
      <c r="P190" s="284" t="s">
        <v>488</v>
      </c>
      <c r="Q190" s="139" t="s">
        <v>1826</v>
      </c>
      <c r="R190" s="66">
        <v>2</v>
      </c>
      <c r="S190" s="66" t="s">
        <v>773</v>
      </c>
      <c r="T190" s="74" t="s">
        <v>771</v>
      </c>
      <c r="U190" s="299">
        <f t="shared" si="14"/>
        <v>0</v>
      </c>
      <c r="V190" s="161"/>
    </row>
    <row r="191" spans="3:22">
      <c r="C191" s="358">
        <v>190</v>
      </c>
      <c r="D191" s="301" t="s">
        <v>318</v>
      </c>
      <c r="E191" s="139" t="s">
        <v>319</v>
      </c>
      <c r="F191" s="66">
        <v>2</v>
      </c>
      <c r="G191" s="66" t="s">
        <v>770</v>
      </c>
      <c r="H191" s="74" t="s">
        <v>771</v>
      </c>
      <c r="I191" s="299">
        <f t="shared" si="10"/>
        <v>1</v>
      </c>
      <c r="K191" s="66">
        <f t="shared" si="11"/>
        <v>0</v>
      </c>
      <c r="L191" s="66">
        <f t="shared" si="12"/>
        <v>0</v>
      </c>
      <c r="M191" s="66"/>
      <c r="N191" s="307">
        <f t="shared" si="13"/>
        <v>0</v>
      </c>
      <c r="P191" s="284" t="s">
        <v>318</v>
      </c>
      <c r="Q191" s="139" t="s">
        <v>1739</v>
      </c>
      <c r="R191" s="66">
        <v>2</v>
      </c>
      <c r="S191" s="66" t="s">
        <v>770</v>
      </c>
      <c r="T191" s="74" t="s">
        <v>771</v>
      </c>
      <c r="U191" s="299">
        <f t="shared" si="14"/>
        <v>1</v>
      </c>
      <c r="V191" s="161"/>
    </row>
    <row r="192" spans="3:22">
      <c r="C192" s="358">
        <v>191</v>
      </c>
      <c r="D192" s="301" t="s">
        <v>450</v>
      </c>
      <c r="E192" s="139" t="s">
        <v>451</v>
      </c>
      <c r="F192" s="66">
        <v>2</v>
      </c>
      <c r="G192" s="66" t="s">
        <v>770</v>
      </c>
      <c r="H192" s="74" t="s">
        <v>771</v>
      </c>
      <c r="I192" s="299">
        <f t="shared" si="10"/>
        <v>1</v>
      </c>
      <c r="K192" s="66">
        <f t="shared" si="11"/>
        <v>0</v>
      </c>
      <c r="L192" s="66">
        <f t="shared" si="12"/>
        <v>0</v>
      </c>
      <c r="M192" s="66"/>
      <c r="N192" s="307">
        <f t="shared" si="13"/>
        <v>0</v>
      </c>
      <c r="P192" s="284" t="s">
        <v>450</v>
      </c>
      <c r="Q192" s="139" t="s">
        <v>1808</v>
      </c>
      <c r="R192" s="66">
        <v>2</v>
      </c>
      <c r="S192" s="66" t="s">
        <v>770</v>
      </c>
      <c r="T192" s="74" t="s">
        <v>771</v>
      </c>
      <c r="U192" s="299">
        <f t="shared" si="14"/>
        <v>1</v>
      </c>
      <c r="V192" s="161"/>
    </row>
    <row r="193" spans="3:22">
      <c r="C193" s="358">
        <v>192</v>
      </c>
      <c r="D193" s="301" t="s">
        <v>476</v>
      </c>
      <c r="E193" s="139" t="s">
        <v>477</v>
      </c>
      <c r="F193" s="66">
        <v>2</v>
      </c>
      <c r="G193" s="66" t="s">
        <v>773</v>
      </c>
      <c r="H193" s="74" t="s">
        <v>771</v>
      </c>
      <c r="I193" s="299">
        <f t="shared" si="10"/>
        <v>0</v>
      </c>
      <c r="K193" s="66">
        <f t="shared" si="11"/>
        <v>0</v>
      </c>
      <c r="L193" s="66">
        <f t="shared" si="12"/>
        <v>0</v>
      </c>
      <c r="M193" s="66"/>
      <c r="N193" s="307">
        <f t="shared" si="13"/>
        <v>0</v>
      </c>
      <c r="P193" s="284" t="s">
        <v>476</v>
      </c>
      <c r="Q193" s="139" t="s">
        <v>1820</v>
      </c>
      <c r="R193" s="66">
        <v>2</v>
      </c>
      <c r="S193" s="66" t="s">
        <v>773</v>
      </c>
      <c r="T193" s="74" t="s">
        <v>771</v>
      </c>
      <c r="U193" s="299">
        <f t="shared" si="14"/>
        <v>0</v>
      </c>
      <c r="V193" s="161"/>
    </row>
    <row r="194" spans="3:22">
      <c r="C194" s="358">
        <v>193</v>
      </c>
      <c r="D194" s="301" t="s">
        <v>646</v>
      </c>
      <c r="E194" s="139" t="s">
        <v>647</v>
      </c>
      <c r="F194" s="66">
        <v>1</v>
      </c>
      <c r="G194" s="66" t="s">
        <v>773</v>
      </c>
      <c r="H194" s="74" t="s">
        <v>771</v>
      </c>
      <c r="I194" s="299">
        <f t="shared" ref="I194:I257" si="15">IF(+G194="cash",1,0)</f>
        <v>0</v>
      </c>
      <c r="K194" s="66">
        <f t="shared" ref="K194:K257" si="16">+F194-R194</f>
        <v>0</v>
      </c>
      <c r="L194" s="66">
        <f t="shared" ref="L194:L257" si="17">+I194-U194</f>
        <v>0</v>
      </c>
      <c r="M194" s="66"/>
      <c r="N194" s="307">
        <f t="shared" ref="N194:N257" si="18">+P194-D194</f>
        <v>0</v>
      </c>
      <c r="P194" s="284" t="s">
        <v>646</v>
      </c>
      <c r="Q194" s="139" t="s">
        <v>1907</v>
      </c>
      <c r="R194" s="66">
        <v>1</v>
      </c>
      <c r="S194" s="66" t="s">
        <v>773</v>
      </c>
      <c r="T194" s="74" t="s">
        <v>771</v>
      </c>
      <c r="U194" s="299">
        <f t="shared" ref="U194:U257" si="19">IF(+S194="cash",1,0)</f>
        <v>0</v>
      </c>
      <c r="V194" s="161"/>
    </row>
    <row r="195" spans="3:22">
      <c r="C195" s="358">
        <v>194</v>
      </c>
      <c r="D195" s="301" t="s">
        <v>474</v>
      </c>
      <c r="E195" s="139" t="s">
        <v>475</v>
      </c>
      <c r="F195" s="611">
        <v>1</v>
      </c>
      <c r="G195" s="66" t="s">
        <v>773</v>
      </c>
      <c r="H195" s="74" t="s">
        <v>771</v>
      </c>
      <c r="I195" s="299">
        <f t="shared" si="15"/>
        <v>0</v>
      </c>
      <c r="K195" s="66">
        <f t="shared" si="16"/>
        <v>0</v>
      </c>
      <c r="L195" s="66">
        <f t="shared" si="17"/>
        <v>0</v>
      </c>
      <c r="M195" s="66"/>
      <c r="N195" s="307">
        <f t="shared" si="18"/>
        <v>0</v>
      </c>
      <c r="P195" s="284" t="s">
        <v>474</v>
      </c>
      <c r="Q195" s="139" t="s">
        <v>1819</v>
      </c>
      <c r="R195" s="611">
        <v>1</v>
      </c>
      <c r="S195" s="66" t="s">
        <v>773</v>
      </c>
      <c r="T195" s="74" t="s">
        <v>771</v>
      </c>
      <c r="U195" s="299">
        <f t="shared" si="19"/>
        <v>0</v>
      </c>
      <c r="V195" s="161"/>
    </row>
    <row r="196" spans="3:22">
      <c r="C196" s="358">
        <v>195</v>
      </c>
      <c r="D196" s="301" t="s">
        <v>432</v>
      </c>
      <c r="E196" s="139" t="s">
        <v>433</v>
      </c>
      <c r="F196" s="66">
        <v>2</v>
      </c>
      <c r="G196" s="66" t="s">
        <v>773</v>
      </c>
      <c r="H196" s="74" t="s">
        <v>771</v>
      </c>
      <c r="I196" s="299">
        <f t="shared" si="15"/>
        <v>0</v>
      </c>
      <c r="K196" s="66">
        <f t="shared" si="16"/>
        <v>0</v>
      </c>
      <c r="L196" s="66">
        <f t="shared" si="17"/>
        <v>0</v>
      </c>
      <c r="M196" s="66"/>
      <c r="N196" s="307">
        <f t="shared" si="18"/>
        <v>0</v>
      </c>
      <c r="P196" s="284" t="s">
        <v>432</v>
      </c>
      <c r="Q196" s="139" t="s">
        <v>1799</v>
      </c>
      <c r="R196" s="66">
        <v>2</v>
      </c>
      <c r="S196" s="66" t="s">
        <v>773</v>
      </c>
      <c r="T196" s="74" t="s">
        <v>771</v>
      </c>
      <c r="U196" s="299">
        <f t="shared" si="19"/>
        <v>0</v>
      </c>
      <c r="V196" s="161"/>
    </row>
    <row r="197" spans="3:22">
      <c r="C197" s="358">
        <v>196</v>
      </c>
      <c r="D197" s="301" t="s">
        <v>618</v>
      </c>
      <c r="E197" s="139" t="s">
        <v>619</v>
      </c>
      <c r="F197" s="66">
        <v>2</v>
      </c>
      <c r="G197" s="66" t="s">
        <v>770</v>
      </c>
      <c r="H197" s="74" t="s">
        <v>772</v>
      </c>
      <c r="I197" s="299">
        <f t="shared" si="15"/>
        <v>1</v>
      </c>
      <c r="K197" s="66">
        <f t="shared" si="16"/>
        <v>0</v>
      </c>
      <c r="L197" s="66">
        <f t="shared" si="17"/>
        <v>0</v>
      </c>
      <c r="M197" s="66"/>
      <c r="N197" s="307">
        <f t="shared" si="18"/>
        <v>0</v>
      </c>
      <c r="P197" s="284" t="s">
        <v>618</v>
      </c>
      <c r="Q197" s="139" t="s">
        <v>1892</v>
      </c>
      <c r="R197" s="66">
        <v>2</v>
      </c>
      <c r="S197" s="66" t="s">
        <v>770</v>
      </c>
      <c r="T197" s="74" t="s">
        <v>772</v>
      </c>
      <c r="U197" s="299">
        <f t="shared" si="19"/>
        <v>1</v>
      </c>
      <c r="V197" s="161"/>
    </row>
    <row r="198" spans="3:22">
      <c r="C198" s="358">
        <v>197</v>
      </c>
      <c r="D198" s="301" t="s">
        <v>537</v>
      </c>
      <c r="E198" s="139" t="s">
        <v>538</v>
      </c>
      <c r="F198" s="66">
        <v>2</v>
      </c>
      <c r="G198" s="66" t="s">
        <v>773</v>
      </c>
      <c r="H198" s="74" t="s">
        <v>771</v>
      </c>
      <c r="I198" s="299">
        <f t="shared" si="15"/>
        <v>0</v>
      </c>
      <c r="K198" s="66">
        <f t="shared" si="16"/>
        <v>0</v>
      </c>
      <c r="L198" s="66">
        <f t="shared" si="17"/>
        <v>0</v>
      </c>
      <c r="M198" s="66"/>
      <c r="N198" s="307">
        <f t="shared" si="18"/>
        <v>0</v>
      </c>
      <c r="P198" s="284" t="s">
        <v>537</v>
      </c>
      <c r="Q198" s="139" t="s">
        <v>1851</v>
      </c>
      <c r="R198" s="66">
        <v>2</v>
      </c>
      <c r="S198" s="66" t="s">
        <v>773</v>
      </c>
      <c r="T198" s="74" t="s">
        <v>771</v>
      </c>
      <c r="U198" s="299">
        <f t="shared" si="19"/>
        <v>0</v>
      </c>
      <c r="V198" s="161"/>
    </row>
    <row r="199" spans="3:22">
      <c r="C199" s="358">
        <v>198</v>
      </c>
      <c r="D199" s="301" t="s">
        <v>594</v>
      </c>
      <c r="E199" s="139" t="s">
        <v>595</v>
      </c>
      <c r="F199" s="66">
        <v>2</v>
      </c>
      <c r="G199" s="66" t="s">
        <v>770</v>
      </c>
      <c r="H199" s="74" t="s">
        <v>772</v>
      </c>
      <c r="I199" s="299">
        <f t="shared" si="15"/>
        <v>1</v>
      </c>
      <c r="K199" s="66">
        <f t="shared" si="16"/>
        <v>0</v>
      </c>
      <c r="L199" s="66">
        <f t="shared" si="17"/>
        <v>0</v>
      </c>
      <c r="M199" s="66"/>
      <c r="N199" s="307">
        <f t="shared" si="18"/>
        <v>0</v>
      </c>
      <c r="P199" s="284" t="s">
        <v>594</v>
      </c>
      <c r="Q199" s="139" t="s">
        <v>1879</v>
      </c>
      <c r="R199" s="66">
        <v>2</v>
      </c>
      <c r="S199" s="66" t="s">
        <v>770</v>
      </c>
      <c r="T199" s="74" t="s">
        <v>772</v>
      </c>
      <c r="U199" s="299">
        <f t="shared" si="19"/>
        <v>1</v>
      </c>
      <c r="V199" s="161"/>
    </row>
    <row r="200" spans="3:22">
      <c r="C200" s="358">
        <v>199</v>
      </c>
      <c r="D200" s="301" t="s">
        <v>261</v>
      </c>
      <c r="E200" s="139" t="s">
        <v>262</v>
      </c>
      <c r="F200" s="66">
        <v>2</v>
      </c>
      <c r="G200" s="66" t="s">
        <v>770</v>
      </c>
      <c r="H200" s="74" t="s">
        <v>772</v>
      </c>
      <c r="I200" s="299">
        <f t="shared" si="15"/>
        <v>1</v>
      </c>
      <c r="K200" s="66">
        <f t="shared" si="16"/>
        <v>0</v>
      </c>
      <c r="L200" s="66">
        <f t="shared" si="17"/>
        <v>0</v>
      </c>
      <c r="M200" s="66"/>
      <c r="N200" s="307">
        <f t="shared" si="18"/>
        <v>0</v>
      </c>
      <c r="P200" s="284" t="s">
        <v>261</v>
      </c>
      <c r="Q200" s="139" t="s">
        <v>1710</v>
      </c>
      <c r="R200" s="66">
        <v>2</v>
      </c>
      <c r="S200" s="66" t="s">
        <v>770</v>
      </c>
      <c r="T200" s="74" t="s">
        <v>772</v>
      </c>
      <c r="U200" s="299">
        <f t="shared" si="19"/>
        <v>1</v>
      </c>
      <c r="V200" s="161"/>
    </row>
    <row r="201" spans="3:22">
      <c r="C201" s="358">
        <v>200</v>
      </c>
      <c r="D201" s="301" t="s">
        <v>245</v>
      </c>
      <c r="E201" s="139" t="s">
        <v>246</v>
      </c>
      <c r="F201" s="66">
        <v>2</v>
      </c>
      <c r="G201" s="66" t="s">
        <v>773</v>
      </c>
      <c r="H201" s="74" t="s">
        <v>772</v>
      </c>
      <c r="I201" s="299">
        <f t="shared" si="15"/>
        <v>0</v>
      </c>
      <c r="K201" s="66">
        <f t="shared" si="16"/>
        <v>0</v>
      </c>
      <c r="L201" s="66">
        <f t="shared" si="17"/>
        <v>0</v>
      </c>
      <c r="M201" s="66"/>
      <c r="N201" s="307">
        <f t="shared" si="18"/>
        <v>0</v>
      </c>
      <c r="P201" s="284" t="s">
        <v>245</v>
      </c>
      <c r="Q201" s="139" t="s">
        <v>1702</v>
      </c>
      <c r="R201" s="66">
        <v>2</v>
      </c>
      <c r="S201" s="66" t="s">
        <v>773</v>
      </c>
      <c r="T201" s="74" t="s">
        <v>772</v>
      </c>
      <c r="U201" s="299">
        <f t="shared" si="19"/>
        <v>0</v>
      </c>
      <c r="V201" s="161"/>
    </row>
    <row r="202" spans="3:22">
      <c r="C202" s="358">
        <v>201</v>
      </c>
      <c r="D202" s="301" t="s">
        <v>486</v>
      </c>
      <c r="E202" s="139" t="s">
        <v>487</v>
      </c>
      <c r="F202" s="66">
        <v>2</v>
      </c>
      <c r="G202" s="66" t="s">
        <v>773</v>
      </c>
      <c r="H202" s="74" t="s">
        <v>771</v>
      </c>
      <c r="I202" s="299">
        <f t="shared" si="15"/>
        <v>0</v>
      </c>
      <c r="K202" s="66">
        <f t="shared" si="16"/>
        <v>0</v>
      </c>
      <c r="L202" s="66">
        <f t="shared" si="17"/>
        <v>0</v>
      </c>
      <c r="M202" s="66"/>
      <c r="N202" s="307">
        <f t="shared" si="18"/>
        <v>0</v>
      </c>
      <c r="P202" s="284" t="s">
        <v>486</v>
      </c>
      <c r="Q202" s="139" t="s">
        <v>1825</v>
      </c>
      <c r="R202" s="66">
        <v>2</v>
      </c>
      <c r="S202" s="66" t="s">
        <v>773</v>
      </c>
      <c r="T202" s="74" t="s">
        <v>771</v>
      </c>
      <c r="U202" s="299">
        <f t="shared" si="19"/>
        <v>0</v>
      </c>
      <c r="V202" s="161"/>
    </row>
    <row r="203" spans="3:22">
      <c r="C203" s="358">
        <v>202</v>
      </c>
      <c r="D203" s="301" t="s">
        <v>519</v>
      </c>
      <c r="E203" s="139" t="s">
        <v>520</v>
      </c>
      <c r="F203" s="66">
        <v>1</v>
      </c>
      <c r="G203" s="66" t="s">
        <v>773</v>
      </c>
      <c r="H203" s="74" t="s">
        <v>771</v>
      </c>
      <c r="I203" s="299">
        <f t="shared" si="15"/>
        <v>0</v>
      </c>
      <c r="K203" s="66">
        <f t="shared" si="16"/>
        <v>0</v>
      </c>
      <c r="L203" s="66">
        <f t="shared" si="17"/>
        <v>0</v>
      </c>
      <c r="M203" s="66"/>
      <c r="N203" s="307">
        <f t="shared" si="18"/>
        <v>0</v>
      </c>
      <c r="P203" s="284" t="s">
        <v>519</v>
      </c>
      <c r="Q203" s="139" t="s">
        <v>1841</v>
      </c>
      <c r="R203" s="66">
        <v>1</v>
      </c>
      <c r="S203" s="66" t="s">
        <v>773</v>
      </c>
      <c r="T203" s="74" t="s">
        <v>771</v>
      </c>
      <c r="U203" s="299">
        <f t="shared" si="19"/>
        <v>0</v>
      </c>
      <c r="V203" s="161"/>
    </row>
    <row r="204" spans="3:22">
      <c r="C204" s="358">
        <v>203</v>
      </c>
      <c r="D204" s="301" t="s">
        <v>167</v>
      </c>
      <c r="E204" s="139" t="s">
        <v>168</v>
      </c>
      <c r="F204" s="66">
        <v>1</v>
      </c>
      <c r="G204" s="66" t="s">
        <v>773</v>
      </c>
      <c r="H204" s="74" t="s">
        <v>771</v>
      </c>
      <c r="I204" s="299">
        <f t="shared" si="15"/>
        <v>0</v>
      </c>
      <c r="K204" s="66">
        <f t="shared" si="16"/>
        <v>0</v>
      </c>
      <c r="L204" s="66">
        <f t="shared" si="17"/>
        <v>0</v>
      </c>
      <c r="M204" s="66"/>
      <c r="N204" s="307">
        <f t="shared" si="18"/>
        <v>0</v>
      </c>
      <c r="P204" s="284" t="s">
        <v>167</v>
      </c>
      <c r="Q204" s="139" t="s">
        <v>1661</v>
      </c>
      <c r="R204" s="66">
        <v>1</v>
      </c>
      <c r="S204" s="66" t="s">
        <v>773</v>
      </c>
      <c r="T204" s="74" t="s">
        <v>771</v>
      </c>
      <c r="U204" s="299">
        <f t="shared" si="19"/>
        <v>0</v>
      </c>
      <c r="V204" s="161"/>
    </row>
    <row r="205" spans="3:22">
      <c r="C205" s="358">
        <v>204</v>
      </c>
      <c r="D205" s="301" t="s">
        <v>249</v>
      </c>
      <c r="E205" s="139" t="s">
        <v>250</v>
      </c>
      <c r="F205" s="66">
        <v>2</v>
      </c>
      <c r="G205" s="66" t="s">
        <v>773</v>
      </c>
      <c r="H205" s="74" t="s">
        <v>772</v>
      </c>
      <c r="I205" s="299">
        <f t="shared" si="15"/>
        <v>0</v>
      </c>
      <c r="K205" s="66">
        <f t="shared" si="16"/>
        <v>0</v>
      </c>
      <c r="L205" s="66">
        <f t="shared" si="17"/>
        <v>0</v>
      </c>
      <c r="M205" s="66"/>
      <c r="N205" s="307">
        <f t="shared" si="18"/>
        <v>0</v>
      </c>
      <c r="P205" s="284" t="s">
        <v>249</v>
      </c>
      <c r="Q205" s="139" t="s">
        <v>1704</v>
      </c>
      <c r="R205" s="66">
        <v>2</v>
      </c>
      <c r="S205" s="66" t="s">
        <v>773</v>
      </c>
      <c r="T205" s="74" t="s">
        <v>772</v>
      </c>
      <c r="U205" s="299">
        <f t="shared" si="19"/>
        <v>0</v>
      </c>
      <c r="V205" s="161"/>
    </row>
    <row r="206" spans="3:22">
      <c r="C206" s="358">
        <v>205</v>
      </c>
      <c r="D206" s="301" t="s">
        <v>695</v>
      </c>
      <c r="E206" s="139" t="s">
        <v>696</v>
      </c>
      <c r="F206" s="66">
        <v>2</v>
      </c>
      <c r="G206" s="66" t="s">
        <v>770</v>
      </c>
      <c r="H206" s="74" t="s">
        <v>771</v>
      </c>
      <c r="I206" s="299">
        <f t="shared" si="15"/>
        <v>1</v>
      </c>
      <c r="K206" s="66">
        <f t="shared" si="16"/>
        <v>0</v>
      </c>
      <c r="L206" s="66">
        <f t="shared" si="17"/>
        <v>0</v>
      </c>
      <c r="M206" s="66"/>
      <c r="N206" s="307">
        <f t="shared" si="18"/>
        <v>0</v>
      </c>
      <c r="P206" s="284" t="s">
        <v>695</v>
      </c>
      <c r="Q206" s="139" t="s">
        <v>1934</v>
      </c>
      <c r="R206" s="66">
        <v>2</v>
      </c>
      <c r="S206" s="66" t="s">
        <v>770</v>
      </c>
      <c r="T206" s="74" t="s">
        <v>771</v>
      </c>
      <c r="U206" s="299">
        <f t="shared" si="19"/>
        <v>1</v>
      </c>
      <c r="V206" s="161"/>
    </row>
    <row r="207" spans="3:22">
      <c r="C207" s="358">
        <v>206</v>
      </c>
      <c r="D207" s="306" t="s">
        <v>2305</v>
      </c>
      <c r="E207" s="295" t="s">
        <v>2304</v>
      </c>
      <c r="F207" s="66">
        <v>2</v>
      </c>
      <c r="G207" s="66" t="s">
        <v>773</v>
      </c>
      <c r="H207" s="74" t="s">
        <v>771</v>
      </c>
      <c r="I207" s="299">
        <f t="shared" si="15"/>
        <v>0</v>
      </c>
      <c r="K207" s="66">
        <f t="shared" si="16"/>
        <v>0</v>
      </c>
      <c r="L207" s="66">
        <f t="shared" si="17"/>
        <v>0</v>
      </c>
      <c r="M207" s="66"/>
      <c r="N207" s="307">
        <f t="shared" si="18"/>
        <v>0</v>
      </c>
      <c r="P207" s="290" t="s">
        <v>2305</v>
      </c>
      <c r="Q207" s="295" t="s">
        <v>2433</v>
      </c>
      <c r="R207" s="66">
        <v>2</v>
      </c>
      <c r="S207" s="66" t="s">
        <v>773</v>
      </c>
      <c r="T207" s="74" t="s">
        <v>771</v>
      </c>
      <c r="U207" s="299">
        <f t="shared" si="19"/>
        <v>0</v>
      </c>
      <c r="V207" s="161"/>
    </row>
    <row r="208" spans="3:22">
      <c r="C208" s="358">
        <v>207</v>
      </c>
      <c r="D208" s="301" t="s">
        <v>267</v>
      </c>
      <c r="E208" s="139" t="s">
        <v>268</v>
      </c>
      <c r="F208" s="66">
        <v>1</v>
      </c>
      <c r="G208" s="66" t="s">
        <v>773</v>
      </c>
      <c r="H208" s="74" t="s">
        <v>771</v>
      </c>
      <c r="I208" s="299">
        <f t="shared" si="15"/>
        <v>0</v>
      </c>
      <c r="K208" s="66">
        <f t="shared" si="16"/>
        <v>0</v>
      </c>
      <c r="L208" s="66">
        <f t="shared" si="17"/>
        <v>0</v>
      </c>
      <c r="M208" s="66"/>
      <c r="N208" s="307">
        <f t="shared" si="18"/>
        <v>0</v>
      </c>
      <c r="P208" s="284" t="s">
        <v>267</v>
      </c>
      <c r="Q208" s="139" t="s">
        <v>1713</v>
      </c>
      <c r="R208" s="66">
        <v>1</v>
      </c>
      <c r="S208" s="66" t="s">
        <v>773</v>
      </c>
      <c r="T208" s="74" t="s">
        <v>771</v>
      </c>
      <c r="U208" s="299">
        <f t="shared" si="19"/>
        <v>0</v>
      </c>
      <c r="V208" s="161"/>
    </row>
    <row r="209" spans="3:22">
      <c r="C209" s="358">
        <v>208</v>
      </c>
      <c r="D209" s="301" t="s">
        <v>480</v>
      </c>
      <c r="E209" s="139" t="s">
        <v>481</v>
      </c>
      <c r="F209" s="66">
        <v>2</v>
      </c>
      <c r="G209" s="66" t="s">
        <v>773</v>
      </c>
      <c r="H209" s="74" t="s">
        <v>771</v>
      </c>
      <c r="I209" s="299">
        <f t="shared" si="15"/>
        <v>0</v>
      </c>
      <c r="K209" s="66">
        <f t="shared" si="16"/>
        <v>0</v>
      </c>
      <c r="L209" s="66">
        <f t="shared" si="17"/>
        <v>0</v>
      </c>
      <c r="M209" s="66"/>
      <c r="N209" s="307">
        <f t="shared" si="18"/>
        <v>0</v>
      </c>
      <c r="P209" s="284" t="s">
        <v>480</v>
      </c>
      <c r="Q209" s="139" t="s">
        <v>1822</v>
      </c>
      <c r="R209" s="66">
        <v>2</v>
      </c>
      <c r="S209" s="66" t="s">
        <v>773</v>
      </c>
      <c r="T209" s="74" t="s">
        <v>771</v>
      </c>
      <c r="U209" s="299">
        <f t="shared" si="19"/>
        <v>0</v>
      </c>
      <c r="V209" s="161"/>
    </row>
    <row r="210" spans="3:22">
      <c r="C210" s="358">
        <v>209</v>
      </c>
      <c r="D210" s="301" t="s">
        <v>179</v>
      </c>
      <c r="E210" s="139" t="s">
        <v>180</v>
      </c>
      <c r="F210" s="66">
        <v>2</v>
      </c>
      <c r="G210" s="66" t="s">
        <v>770</v>
      </c>
      <c r="H210" s="74" t="s">
        <v>772</v>
      </c>
      <c r="I210" s="299">
        <f t="shared" si="15"/>
        <v>1</v>
      </c>
      <c r="K210" s="66">
        <f t="shared" si="16"/>
        <v>0</v>
      </c>
      <c r="L210" s="66">
        <f t="shared" si="17"/>
        <v>0</v>
      </c>
      <c r="M210" s="66"/>
      <c r="N210" s="307">
        <f t="shared" si="18"/>
        <v>0</v>
      </c>
      <c r="P210" s="284" t="s">
        <v>179</v>
      </c>
      <c r="Q210" s="139" t="s">
        <v>1667</v>
      </c>
      <c r="R210" s="66">
        <v>2</v>
      </c>
      <c r="S210" s="66" t="s">
        <v>770</v>
      </c>
      <c r="T210" s="74" t="s">
        <v>772</v>
      </c>
      <c r="U210" s="299">
        <f t="shared" si="19"/>
        <v>1</v>
      </c>
      <c r="V210" s="161"/>
    </row>
    <row r="211" spans="3:22">
      <c r="C211" s="358">
        <v>210</v>
      </c>
      <c r="D211" s="301" t="s">
        <v>434</v>
      </c>
      <c r="E211" s="139" t="s">
        <v>435</v>
      </c>
      <c r="F211" s="66">
        <v>2</v>
      </c>
      <c r="G211" s="66" t="s">
        <v>770</v>
      </c>
      <c r="H211" s="74" t="s">
        <v>771</v>
      </c>
      <c r="I211" s="299">
        <f t="shared" si="15"/>
        <v>1</v>
      </c>
      <c r="K211" s="66">
        <f t="shared" si="16"/>
        <v>0</v>
      </c>
      <c r="L211" s="66">
        <f t="shared" si="17"/>
        <v>0</v>
      </c>
      <c r="M211" s="66"/>
      <c r="N211" s="307">
        <f t="shared" si="18"/>
        <v>0</v>
      </c>
      <c r="P211" s="284" t="s">
        <v>434</v>
      </c>
      <c r="Q211" s="139" t="s">
        <v>1800</v>
      </c>
      <c r="R211" s="66">
        <v>2</v>
      </c>
      <c r="S211" s="66" t="s">
        <v>770</v>
      </c>
      <c r="T211" s="74" t="s">
        <v>771</v>
      </c>
      <c r="U211" s="299">
        <f t="shared" si="19"/>
        <v>1</v>
      </c>
      <c r="V211" s="161"/>
    </row>
    <row r="212" spans="3:22">
      <c r="C212" s="358">
        <v>211</v>
      </c>
      <c r="D212" s="301" t="s">
        <v>523</v>
      </c>
      <c r="E212" s="139" t="s">
        <v>524</v>
      </c>
      <c r="F212" s="66">
        <v>1</v>
      </c>
      <c r="G212" s="66" t="s">
        <v>773</v>
      </c>
      <c r="H212" s="74" t="s">
        <v>771</v>
      </c>
      <c r="I212" s="299">
        <f t="shared" si="15"/>
        <v>0</v>
      </c>
      <c r="K212" s="66">
        <f t="shared" si="16"/>
        <v>0</v>
      </c>
      <c r="L212" s="66">
        <f t="shared" si="17"/>
        <v>0</v>
      </c>
      <c r="M212" s="66"/>
      <c r="N212" s="307">
        <f t="shared" si="18"/>
        <v>0</v>
      </c>
      <c r="P212" s="284" t="s">
        <v>523</v>
      </c>
      <c r="Q212" s="139" t="s">
        <v>1843</v>
      </c>
      <c r="R212" s="66">
        <v>1</v>
      </c>
      <c r="S212" s="66" t="s">
        <v>773</v>
      </c>
      <c r="T212" s="74" t="s">
        <v>771</v>
      </c>
      <c r="U212" s="299">
        <f t="shared" si="19"/>
        <v>0</v>
      </c>
      <c r="V212" s="161"/>
    </row>
    <row r="213" spans="3:22">
      <c r="C213" s="358">
        <v>212</v>
      </c>
      <c r="D213" s="310" t="s">
        <v>1655</v>
      </c>
      <c r="E213" s="73" t="s">
        <v>1637</v>
      </c>
      <c r="F213" s="66">
        <v>2</v>
      </c>
      <c r="G213" s="66" t="s">
        <v>773</v>
      </c>
      <c r="H213" s="74" t="s">
        <v>771</v>
      </c>
      <c r="I213" s="299">
        <f t="shared" si="15"/>
        <v>0</v>
      </c>
      <c r="K213" s="66">
        <f t="shared" si="16"/>
        <v>0</v>
      </c>
      <c r="L213" s="66">
        <f t="shared" si="17"/>
        <v>0</v>
      </c>
      <c r="M213" s="66"/>
      <c r="N213" s="307">
        <f t="shared" si="18"/>
        <v>0</v>
      </c>
      <c r="P213" s="277" t="s">
        <v>1655</v>
      </c>
      <c r="Q213" s="73" t="s">
        <v>1958</v>
      </c>
      <c r="R213" s="66">
        <v>2</v>
      </c>
      <c r="S213" s="66" t="s">
        <v>773</v>
      </c>
      <c r="T213" s="74" t="s">
        <v>771</v>
      </c>
      <c r="U213" s="299">
        <f t="shared" si="19"/>
        <v>0</v>
      </c>
      <c r="V213" s="161"/>
    </row>
    <row r="214" spans="3:22">
      <c r="C214" s="358">
        <v>213</v>
      </c>
      <c r="D214" s="301" t="s">
        <v>466</v>
      </c>
      <c r="E214" s="139" t="s">
        <v>467</v>
      </c>
      <c r="F214" s="66">
        <v>2</v>
      </c>
      <c r="G214" s="66" t="s">
        <v>770</v>
      </c>
      <c r="H214" s="74" t="s">
        <v>772</v>
      </c>
      <c r="I214" s="299">
        <f t="shared" si="15"/>
        <v>1</v>
      </c>
      <c r="K214" s="66">
        <f t="shared" si="16"/>
        <v>0</v>
      </c>
      <c r="L214" s="66">
        <f t="shared" si="17"/>
        <v>0</v>
      </c>
      <c r="M214" s="66"/>
      <c r="N214" s="307">
        <f t="shared" si="18"/>
        <v>0</v>
      </c>
      <c r="P214" s="284" t="s">
        <v>466</v>
      </c>
      <c r="Q214" s="139" t="s">
        <v>1816</v>
      </c>
      <c r="R214" s="66">
        <v>2</v>
      </c>
      <c r="S214" s="66" t="s">
        <v>770</v>
      </c>
      <c r="T214" s="74" t="s">
        <v>772</v>
      </c>
      <c r="U214" s="299">
        <f t="shared" si="19"/>
        <v>1</v>
      </c>
      <c r="V214" s="161"/>
    </row>
    <row r="215" spans="3:22">
      <c r="C215" s="358">
        <v>214</v>
      </c>
      <c r="D215" s="301" t="s">
        <v>275</v>
      </c>
      <c r="E215" s="139" t="s">
        <v>276</v>
      </c>
      <c r="F215" s="66">
        <v>2</v>
      </c>
      <c r="G215" s="66" t="s">
        <v>773</v>
      </c>
      <c r="H215" s="74" t="s">
        <v>771</v>
      </c>
      <c r="I215" s="299">
        <f t="shared" si="15"/>
        <v>0</v>
      </c>
      <c r="K215" s="66">
        <f t="shared" si="16"/>
        <v>0</v>
      </c>
      <c r="L215" s="66">
        <f t="shared" si="17"/>
        <v>0</v>
      </c>
      <c r="M215" s="66"/>
      <c r="N215" s="307">
        <f t="shared" si="18"/>
        <v>0</v>
      </c>
      <c r="P215" s="284" t="s">
        <v>275</v>
      </c>
      <c r="Q215" s="139" t="s">
        <v>1717</v>
      </c>
      <c r="R215" s="66">
        <v>2</v>
      </c>
      <c r="S215" s="66" t="s">
        <v>773</v>
      </c>
      <c r="T215" s="74" t="s">
        <v>771</v>
      </c>
      <c r="U215" s="299">
        <f t="shared" si="19"/>
        <v>0</v>
      </c>
      <c r="V215" s="161"/>
    </row>
    <row r="216" spans="3:22">
      <c r="C216" s="358">
        <v>215</v>
      </c>
      <c r="D216" s="301" t="s">
        <v>203</v>
      </c>
      <c r="E216" s="139" t="s">
        <v>204</v>
      </c>
      <c r="F216" s="66">
        <v>1</v>
      </c>
      <c r="G216" s="66" t="s">
        <v>773</v>
      </c>
      <c r="H216" s="74" t="s">
        <v>771</v>
      </c>
      <c r="I216" s="299">
        <f t="shared" si="15"/>
        <v>0</v>
      </c>
      <c r="K216" s="66">
        <f t="shared" si="16"/>
        <v>0</v>
      </c>
      <c r="L216" s="66">
        <f t="shared" si="17"/>
        <v>0</v>
      </c>
      <c r="M216" s="66"/>
      <c r="N216" s="307">
        <f t="shared" si="18"/>
        <v>0</v>
      </c>
      <c r="P216" s="284" t="s">
        <v>203</v>
      </c>
      <c r="Q216" s="139" t="s">
        <v>1679</v>
      </c>
      <c r="R216" s="66">
        <v>1</v>
      </c>
      <c r="S216" s="66" t="s">
        <v>773</v>
      </c>
      <c r="T216" s="74" t="s">
        <v>771</v>
      </c>
      <c r="U216" s="299">
        <f t="shared" si="19"/>
        <v>0</v>
      </c>
      <c r="V216" s="161"/>
    </row>
    <row r="217" spans="3:22">
      <c r="C217" s="358">
        <v>216</v>
      </c>
      <c r="D217" s="301" t="s">
        <v>336</v>
      </c>
      <c r="E217" s="139" t="s">
        <v>337</v>
      </c>
      <c r="F217" s="66">
        <v>2</v>
      </c>
      <c r="G217" s="66" t="s">
        <v>773</v>
      </c>
      <c r="H217" s="74" t="s">
        <v>771</v>
      </c>
      <c r="I217" s="299">
        <f t="shared" si="15"/>
        <v>0</v>
      </c>
      <c r="K217" s="66">
        <f t="shared" si="16"/>
        <v>0</v>
      </c>
      <c r="L217" s="66">
        <f t="shared" si="17"/>
        <v>0</v>
      </c>
      <c r="M217" s="66"/>
      <c r="N217" s="307">
        <f t="shared" si="18"/>
        <v>0</v>
      </c>
      <c r="P217" s="284" t="s">
        <v>336</v>
      </c>
      <c r="Q217" s="139" t="s">
        <v>1748</v>
      </c>
      <c r="R217" s="66">
        <v>2</v>
      </c>
      <c r="S217" s="66" t="s">
        <v>773</v>
      </c>
      <c r="T217" s="74" t="s">
        <v>771</v>
      </c>
      <c r="U217" s="299">
        <f t="shared" si="19"/>
        <v>0</v>
      </c>
      <c r="V217" s="161"/>
    </row>
    <row r="218" spans="3:22">
      <c r="C218" s="358">
        <v>217</v>
      </c>
      <c r="D218" s="301" t="s">
        <v>669</v>
      </c>
      <c r="E218" s="139" t="s">
        <v>670</v>
      </c>
      <c r="F218" s="66">
        <v>2</v>
      </c>
      <c r="G218" s="611" t="s">
        <v>773</v>
      </c>
      <c r="H218" s="74" t="s">
        <v>771</v>
      </c>
      <c r="I218" s="299">
        <f t="shared" si="15"/>
        <v>0</v>
      </c>
      <c r="K218" s="66">
        <f t="shared" si="16"/>
        <v>0</v>
      </c>
      <c r="L218" s="66">
        <f t="shared" si="17"/>
        <v>0</v>
      </c>
      <c r="M218" s="66"/>
      <c r="N218" s="307">
        <f t="shared" si="18"/>
        <v>0</v>
      </c>
      <c r="P218" s="284" t="s">
        <v>669</v>
      </c>
      <c r="Q218" s="139" t="s">
        <v>1920</v>
      </c>
      <c r="R218" s="66">
        <v>2</v>
      </c>
      <c r="S218" s="611" t="s">
        <v>773</v>
      </c>
      <c r="T218" s="74" t="s">
        <v>771</v>
      </c>
      <c r="U218" s="299">
        <f t="shared" si="19"/>
        <v>0</v>
      </c>
      <c r="V218" s="161"/>
    </row>
    <row r="219" spans="3:22">
      <c r="C219" s="358">
        <v>218</v>
      </c>
      <c r="D219" s="301" t="s">
        <v>185</v>
      </c>
      <c r="E219" s="139" t="s">
        <v>186</v>
      </c>
      <c r="F219" s="66">
        <v>1</v>
      </c>
      <c r="G219" s="66" t="s">
        <v>773</v>
      </c>
      <c r="H219" s="74" t="s">
        <v>771</v>
      </c>
      <c r="I219" s="299">
        <f t="shared" si="15"/>
        <v>0</v>
      </c>
      <c r="K219" s="66">
        <f t="shared" si="16"/>
        <v>0</v>
      </c>
      <c r="L219" s="66">
        <f t="shared" si="17"/>
        <v>0</v>
      </c>
      <c r="M219" s="66"/>
      <c r="N219" s="307">
        <f t="shared" si="18"/>
        <v>0</v>
      </c>
      <c r="P219" s="284" t="s">
        <v>185</v>
      </c>
      <c r="Q219" s="139" t="s">
        <v>1670</v>
      </c>
      <c r="R219" s="66">
        <v>1</v>
      </c>
      <c r="S219" s="66" t="s">
        <v>773</v>
      </c>
      <c r="T219" s="74" t="s">
        <v>771</v>
      </c>
      <c r="U219" s="299">
        <f t="shared" si="19"/>
        <v>0</v>
      </c>
      <c r="V219" s="161"/>
    </row>
    <row r="220" spans="3:22">
      <c r="C220" s="358">
        <v>219</v>
      </c>
      <c r="D220" s="301" t="s">
        <v>691</v>
      </c>
      <c r="E220" s="139" t="s">
        <v>692</v>
      </c>
      <c r="F220" s="66">
        <v>1</v>
      </c>
      <c r="G220" s="66" t="s">
        <v>773</v>
      </c>
      <c r="H220" s="74" t="s">
        <v>771</v>
      </c>
      <c r="I220" s="299">
        <f t="shared" si="15"/>
        <v>0</v>
      </c>
      <c r="K220" s="66">
        <f t="shared" si="16"/>
        <v>0</v>
      </c>
      <c r="L220" s="66">
        <f t="shared" si="17"/>
        <v>0</v>
      </c>
      <c r="M220" s="66"/>
      <c r="N220" s="307">
        <f t="shared" si="18"/>
        <v>0</v>
      </c>
      <c r="P220" s="284" t="s">
        <v>691</v>
      </c>
      <c r="Q220" s="139" t="s">
        <v>1932</v>
      </c>
      <c r="R220" s="66">
        <v>1</v>
      </c>
      <c r="S220" s="66" t="s">
        <v>773</v>
      </c>
      <c r="T220" s="74" t="s">
        <v>771</v>
      </c>
      <c r="U220" s="299">
        <f t="shared" si="19"/>
        <v>0</v>
      </c>
      <c r="V220" s="161"/>
    </row>
    <row r="221" spans="3:22">
      <c r="C221" s="358">
        <v>220</v>
      </c>
      <c r="D221" s="301" t="s">
        <v>507</v>
      </c>
      <c r="E221" s="139" t="s">
        <v>508</v>
      </c>
      <c r="F221" s="66">
        <v>1</v>
      </c>
      <c r="G221" s="66" t="s">
        <v>773</v>
      </c>
      <c r="H221" s="74" t="s">
        <v>771</v>
      </c>
      <c r="I221" s="299">
        <f t="shared" si="15"/>
        <v>0</v>
      </c>
      <c r="K221" s="66">
        <f t="shared" si="16"/>
        <v>0</v>
      </c>
      <c r="L221" s="66">
        <f t="shared" si="17"/>
        <v>0</v>
      </c>
      <c r="M221" s="66"/>
      <c r="N221" s="307">
        <f t="shared" si="18"/>
        <v>0</v>
      </c>
      <c r="P221" s="284" t="s">
        <v>507</v>
      </c>
      <c r="Q221" s="139" t="s">
        <v>1836</v>
      </c>
      <c r="R221" s="66">
        <v>1</v>
      </c>
      <c r="S221" s="66" t="s">
        <v>773</v>
      </c>
      <c r="T221" s="74" t="s">
        <v>771</v>
      </c>
      <c r="U221" s="299">
        <f t="shared" si="19"/>
        <v>0</v>
      </c>
      <c r="V221" s="161"/>
    </row>
    <row r="222" spans="3:22">
      <c r="C222" s="358">
        <v>221</v>
      </c>
      <c r="D222" s="301" t="s">
        <v>328</v>
      </c>
      <c r="E222" s="139" t="s">
        <v>329</v>
      </c>
      <c r="F222" s="66">
        <v>2</v>
      </c>
      <c r="G222" s="611" t="s">
        <v>773</v>
      </c>
      <c r="H222" s="74" t="s">
        <v>772</v>
      </c>
      <c r="I222" s="299">
        <f t="shared" si="15"/>
        <v>0</v>
      </c>
      <c r="K222" s="66">
        <f t="shared" si="16"/>
        <v>0</v>
      </c>
      <c r="L222" s="66">
        <f t="shared" si="17"/>
        <v>0</v>
      </c>
      <c r="M222" s="66"/>
      <c r="N222" s="307">
        <f t="shared" si="18"/>
        <v>0</v>
      </c>
      <c r="P222" s="284" t="s">
        <v>328</v>
      </c>
      <c r="Q222" s="139" t="s">
        <v>1744</v>
      </c>
      <c r="R222" s="66">
        <v>2</v>
      </c>
      <c r="S222" s="611" t="s">
        <v>773</v>
      </c>
      <c r="T222" s="74" t="s">
        <v>772</v>
      </c>
      <c r="U222" s="299">
        <f t="shared" si="19"/>
        <v>0</v>
      </c>
      <c r="V222" s="161"/>
    </row>
    <row r="223" spans="3:22">
      <c r="C223" s="358">
        <v>222</v>
      </c>
      <c r="D223" s="301" t="s">
        <v>332</v>
      </c>
      <c r="E223" s="139" t="s">
        <v>333</v>
      </c>
      <c r="F223" s="66">
        <v>2</v>
      </c>
      <c r="G223" s="66" t="s">
        <v>773</v>
      </c>
      <c r="H223" s="74" t="s">
        <v>771</v>
      </c>
      <c r="I223" s="299">
        <f t="shared" si="15"/>
        <v>0</v>
      </c>
      <c r="K223" s="66">
        <f t="shared" si="16"/>
        <v>0</v>
      </c>
      <c r="L223" s="66">
        <f t="shared" si="17"/>
        <v>0</v>
      </c>
      <c r="M223" s="66"/>
      <c r="N223" s="307">
        <f t="shared" si="18"/>
        <v>0</v>
      </c>
      <c r="P223" s="284" t="s">
        <v>332</v>
      </c>
      <c r="Q223" s="139" t="s">
        <v>1746</v>
      </c>
      <c r="R223" s="66">
        <v>2</v>
      </c>
      <c r="S223" s="66" t="s">
        <v>773</v>
      </c>
      <c r="T223" s="74" t="s">
        <v>771</v>
      </c>
      <c r="U223" s="299">
        <f t="shared" si="19"/>
        <v>0</v>
      </c>
      <c r="V223" s="161"/>
    </row>
    <row r="224" spans="3:22">
      <c r="C224" s="358">
        <v>223</v>
      </c>
      <c r="D224" s="312" t="s">
        <v>1481</v>
      </c>
      <c r="E224" t="s">
        <v>1482</v>
      </c>
      <c r="F224" s="66">
        <v>2</v>
      </c>
      <c r="G224" s="66" t="s">
        <v>773</v>
      </c>
      <c r="H224" s="74" t="s">
        <v>771</v>
      </c>
      <c r="I224" s="299">
        <f t="shared" si="15"/>
        <v>0</v>
      </c>
      <c r="K224" s="66">
        <f t="shared" si="16"/>
        <v>0</v>
      </c>
      <c r="L224" s="66">
        <f t="shared" si="17"/>
        <v>0</v>
      </c>
      <c r="M224" s="66"/>
      <c r="N224" s="307">
        <f t="shared" si="18"/>
        <v>0</v>
      </c>
      <c r="P224" s="297" t="s">
        <v>1481</v>
      </c>
      <c r="Q224" t="s">
        <v>1684</v>
      </c>
      <c r="R224" s="66">
        <v>2</v>
      </c>
      <c r="S224" s="66" t="s">
        <v>773</v>
      </c>
      <c r="T224" s="74" t="s">
        <v>771</v>
      </c>
      <c r="U224" s="299">
        <f t="shared" si="19"/>
        <v>0</v>
      </c>
      <c r="V224" s="161"/>
    </row>
    <row r="225" spans="3:22">
      <c r="C225" s="358">
        <v>224</v>
      </c>
      <c r="D225" s="301" t="s">
        <v>211</v>
      </c>
      <c r="E225" s="139" t="s">
        <v>212</v>
      </c>
      <c r="F225" s="66">
        <v>1</v>
      </c>
      <c r="G225" s="66" t="s">
        <v>773</v>
      </c>
      <c r="H225" s="74" t="s">
        <v>771</v>
      </c>
      <c r="I225" s="299">
        <f t="shared" si="15"/>
        <v>0</v>
      </c>
      <c r="K225" s="66">
        <f t="shared" si="16"/>
        <v>0</v>
      </c>
      <c r="L225" s="66">
        <f t="shared" si="17"/>
        <v>0</v>
      </c>
      <c r="M225" s="66"/>
      <c r="N225" s="307">
        <f t="shared" si="18"/>
        <v>0</v>
      </c>
      <c r="P225" s="284" t="s">
        <v>211</v>
      </c>
      <c r="Q225" s="139" t="s">
        <v>1683</v>
      </c>
      <c r="R225" s="66">
        <v>1</v>
      </c>
      <c r="S225" s="66" t="s">
        <v>773</v>
      </c>
      <c r="T225" s="74" t="s">
        <v>771</v>
      </c>
      <c r="U225" s="299">
        <f t="shared" si="19"/>
        <v>0</v>
      </c>
      <c r="V225" s="161"/>
    </row>
    <row r="226" spans="3:22">
      <c r="C226" s="358">
        <v>225</v>
      </c>
      <c r="D226" s="301" t="s">
        <v>311</v>
      </c>
      <c r="E226" s="139" t="s">
        <v>1592</v>
      </c>
      <c r="F226" s="66">
        <v>2</v>
      </c>
      <c r="G226" s="66" t="s">
        <v>773</v>
      </c>
      <c r="H226" s="74" t="s">
        <v>771</v>
      </c>
      <c r="I226" s="299">
        <f t="shared" si="15"/>
        <v>0</v>
      </c>
      <c r="K226" s="66">
        <f t="shared" si="16"/>
        <v>0</v>
      </c>
      <c r="L226" s="66">
        <f t="shared" si="17"/>
        <v>0</v>
      </c>
      <c r="M226" s="66"/>
      <c r="N226" s="307">
        <f t="shared" si="18"/>
        <v>0</v>
      </c>
      <c r="P226" s="284" t="s">
        <v>311</v>
      </c>
      <c r="Q226" s="139" t="s">
        <v>1735</v>
      </c>
      <c r="R226" s="66">
        <v>2</v>
      </c>
      <c r="S226" s="66" t="s">
        <v>773</v>
      </c>
      <c r="T226" s="74" t="s">
        <v>771</v>
      </c>
      <c r="U226" s="299">
        <f t="shared" si="19"/>
        <v>0</v>
      </c>
      <c r="V226" s="161"/>
    </row>
    <row r="227" spans="3:22">
      <c r="C227" s="358">
        <v>226</v>
      </c>
      <c r="D227" s="301" t="s">
        <v>279</v>
      </c>
      <c r="E227" s="139" t="s">
        <v>280</v>
      </c>
      <c r="F227" s="66">
        <v>1</v>
      </c>
      <c r="G227" s="66" t="s">
        <v>773</v>
      </c>
      <c r="H227" s="74" t="s">
        <v>771</v>
      </c>
      <c r="I227" s="299">
        <f t="shared" si="15"/>
        <v>0</v>
      </c>
      <c r="K227" s="66">
        <f t="shared" si="16"/>
        <v>0</v>
      </c>
      <c r="L227" s="66">
        <f t="shared" si="17"/>
        <v>0</v>
      </c>
      <c r="M227" s="66"/>
      <c r="N227" s="307">
        <f t="shared" si="18"/>
        <v>0</v>
      </c>
      <c r="P227" s="284" t="s">
        <v>279</v>
      </c>
      <c r="Q227" s="139" t="s">
        <v>1719</v>
      </c>
      <c r="R227" s="66">
        <v>1</v>
      </c>
      <c r="S227" s="66" t="s">
        <v>773</v>
      </c>
      <c r="T227" s="74" t="s">
        <v>771</v>
      </c>
      <c r="U227" s="299">
        <f t="shared" si="19"/>
        <v>0</v>
      </c>
      <c r="V227" s="161"/>
    </row>
    <row r="228" spans="3:22">
      <c r="C228" s="358">
        <v>227</v>
      </c>
      <c r="D228" s="301" t="s">
        <v>648</v>
      </c>
      <c r="E228" s="139" t="s">
        <v>649</v>
      </c>
      <c r="F228" s="66">
        <v>2</v>
      </c>
      <c r="G228" s="66" t="s">
        <v>773</v>
      </c>
      <c r="H228" s="74" t="s">
        <v>771</v>
      </c>
      <c r="I228" s="299">
        <f t="shared" si="15"/>
        <v>0</v>
      </c>
      <c r="K228" s="66">
        <f t="shared" si="16"/>
        <v>0</v>
      </c>
      <c r="L228" s="66">
        <f t="shared" si="17"/>
        <v>0</v>
      </c>
      <c r="M228" s="66"/>
      <c r="N228" s="307">
        <f t="shared" si="18"/>
        <v>0</v>
      </c>
      <c r="P228" s="284" t="s">
        <v>648</v>
      </c>
      <c r="Q228" s="139" t="s">
        <v>1908</v>
      </c>
      <c r="R228" s="66">
        <v>2</v>
      </c>
      <c r="S228" s="66" t="s">
        <v>773</v>
      </c>
      <c r="T228" s="74" t="s">
        <v>771</v>
      </c>
      <c r="U228" s="299">
        <f t="shared" si="19"/>
        <v>0</v>
      </c>
      <c r="V228" s="161"/>
    </row>
    <row r="229" spans="3:22">
      <c r="C229" s="358">
        <v>228</v>
      </c>
      <c r="D229" s="311" t="s">
        <v>1388</v>
      </c>
      <c r="E229" s="113" t="s">
        <v>1478</v>
      </c>
      <c r="F229" s="66">
        <v>2</v>
      </c>
      <c r="G229" s="66" t="s">
        <v>773</v>
      </c>
      <c r="H229" s="74" t="s">
        <v>771</v>
      </c>
      <c r="I229" s="299">
        <f t="shared" si="15"/>
        <v>0</v>
      </c>
      <c r="K229" s="66">
        <f t="shared" si="16"/>
        <v>0</v>
      </c>
      <c r="L229" s="66">
        <f t="shared" si="17"/>
        <v>0</v>
      </c>
      <c r="M229" s="66"/>
      <c r="N229" s="307">
        <f t="shared" si="18"/>
        <v>0</v>
      </c>
      <c r="P229" s="296" t="s">
        <v>1388</v>
      </c>
      <c r="Q229" s="113" t="s">
        <v>1960</v>
      </c>
      <c r="R229" s="66">
        <v>2</v>
      </c>
      <c r="S229" s="66" t="s">
        <v>773</v>
      </c>
      <c r="T229" s="74" t="s">
        <v>771</v>
      </c>
      <c r="U229" s="299">
        <f t="shared" si="19"/>
        <v>0</v>
      </c>
      <c r="V229" s="161"/>
    </row>
    <row r="230" spans="3:22">
      <c r="C230" s="358">
        <v>229</v>
      </c>
      <c r="D230" s="311" t="s">
        <v>1477</v>
      </c>
      <c r="E230" s="73" t="s">
        <v>1588</v>
      </c>
      <c r="F230" s="66">
        <v>2</v>
      </c>
      <c r="G230" s="66" t="s">
        <v>773</v>
      </c>
      <c r="H230" s="74" t="s">
        <v>771</v>
      </c>
      <c r="I230" s="299">
        <f t="shared" si="15"/>
        <v>0</v>
      </c>
      <c r="K230" s="66">
        <f t="shared" si="16"/>
        <v>0</v>
      </c>
      <c r="L230" s="66">
        <f t="shared" si="17"/>
        <v>0</v>
      </c>
      <c r="M230" s="66"/>
      <c r="N230" s="307">
        <f t="shared" si="18"/>
        <v>0</v>
      </c>
      <c r="P230" s="296" t="s">
        <v>1477</v>
      </c>
      <c r="Q230" s="73" t="s">
        <v>1961</v>
      </c>
      <c r="R230" s="66">
        <v>2</v>
      </c>
      <c r="S230" s="66" t="s">
        <v>773</v>
      </c>
      <c r="T230" s="74" t="s">
        <v>771</v>
      </c>
      <c r="U230" s="299">
        <f t="shared" si="19"/>
        <v>0</v>
      </c>
      <c r="V230" s="161"/>
    </row>
    <row r="231" spans="3:22">
      <c r="C231" s="358">
        <v>230</v>
      </c>
      <c r="D231" s="301" t="s">
        <v>490</v>
      </c>
      <c r="E231" s="139" t="s">
        <v>491</v>
      </c>
      <c r="F231" s="66">
        <v>2</v>
      </c>
      <c r="G231" s="66" t="s">
        <v>773</v>
      </c>
      <c r="H231" s="74" t="s">
        <v>771</v>
      </c>
      <c r="I231" s="299">
        <f t="shared" si="15"/>
        <v>0</v>
      </c>
      <c r="K231" s="66">
        <f t="shared" si="16"/>
        <v>0</v>
      </c>
      <c r="L231" s="66">
        <f t="shared" si="17"/>
        <v>0</v>
      </c>
      <c r="M231" s="66"/>
      <c r="N231" s="307">
        <f t="shared" si="18"/>
        <v>0</v>
      </c>
      <c r="P231" s="284" t="s">
        <v>490</v>
      </c>
      <c r="Q231" s="139" t="s">
        <v>1827</v>
      </c>
      <c r="R231" s="66">
        <v>2</v>
      </c>
      <c r="S231" s="66" t="s">
        <v>773</v>
      </c>
      <c r="T231" s="74" t="s">
        <v>771</v>
      </c>
      <c r="U231" s="299">
        <f t="shared" si="19"/>
        <v>0</v>
      </c>
      <c r="V231" s="161"/>
    </row>
    <row r="232" spans="3:22">
      <c r="C232" s="358">
        <v>231</v>
      </c>
      <c r="D232" s="301" t="s">
        <v>444</v>
      </c>
      <c r="E232" s="139" t="s">
        <v>445</v>
      </c>
      <c r="F232" s="66">
        <v>2</v>
      </c>
      <c r="G232" s="66" t="s">
        <v>770</v>
      </c>
      <c r="H232" s="74" t="s">
        <v>771</v>
      </c>
      <c r="I232" s="299">
        <f t="shared" si="15"/>
        <v>1</v>
      </c>
      <c r="K232" s="66">
        <f t="shared" si="16"/>
        <v>0</v>
      </c>
      <c r="L232" s="66">
        <f t="shared" si="17"/>
        <v>0</v>
      </c>
      <c r="M232" s="66"/>
      <c r="N232" s="307">
        <f t="shared" si="18"/>
        <v>0</v>
      </c>
      <c r="P232" s="284" t="s">
        <v>444</v>
      </c>
      <c r="Q232" s="139" t="s">
        <v>1805</v>
      </c>
      <c r="R232" s="66">
        <v>2</v>
      </c>
      <c r="S232" s="66" t="s">
        <v>770</v>
      </c>
      <c r="T232" s="74" t="s">
        <v>771</v>
      </c>
      <c r="U232" s="299">
        <f t="shared" si="19"/>
        <v>1</v>
      </c>
      <c r="V232" s="161"/>
    </row>
    <row r="233" spans="3:22">
      <c r="C233" s="358">
        <v>232</v>
      </c>
      <c r="D233" s="301" t="s">
        <v>350</v>
      </c>
      <c r="E233" s="139" t="s">
        <v>351</v>
      </c>
      <c r="F233" s="66">
        <v>1</v>
      </c>
      <c r="G233" s="66" t="s">
        <v>773</v>
      </c>
      <c r="H233" s="74" t="s">
        <v>771</v>
      </c>
      <c r="I233" s="299">
        <f t="shared" si="15"/>
        <v>0</v>
      </c>
      <c r="K233" s="66">
        <f t="shared" si="16"/>
        <v>0</v>
      </c>
      <c r="L233" s="66">
        <f t="shared" si="17"/>
        <v>0</v>
      </c>
      <c r="M233" s="66"/>
      <c r="N233" s="307">
        <f t="shared" si="18"/>
        <v>0</v>
      </c>
      <c r="P233" s="284" t="s">
        <v>350</v>
      </c>
      <c r="Q233" s="139" t="s">
        <v>1755</v>
      </c>
      <c r="R233" s="66">
        <v>1</v>
      </c>
      <c r="S233" s="66" t="s">
        <v>773</v>
      </c>
      <c r="T233" s="74" t="s">
        <v>771</v>
      </c>
      <c r="U233" s="299">
        <f t="shared" si="19"/>
        <v>0</v>
      </c>
      <c r="V233" s="161"/>
    </row>
    <row r="234" spans="3:22">
      <c r="C234" s="358">
        <v>233</v>
      </c>
      <c r="D234" s="301" t="s">
        <v>265</v>
      </c>
      <c r="E234" s="139" t="s">
        <v>266</v>
      </c>
      <c r="F234" s="66">
        <v>2</v>
      </c>
      <c r="G234" s="66" t="s">
        <v>770</v>
      </c>
      <c r="H234" s="74" t="s">
        <v>771</v>
      </c>
      <c r="I234" s="299">
        <f t="shared" si="15"/>
        <v>1</v>
      </c>
      <c r="K234" s="66">
        <f t="shared" si="16"/>
        <v>0</v>
      </c>
      <c r="L234" s="66">
        <f t="shared" si="17"/>
        <v>0</v>
      </c>
      <c r="M234" s="66"/>
      <c r="N234" s="307">
        <f t="shared" si="18"/>
        <v>0</v>
      </c>
      <c r="P234" s="284" t="s">
        <v>265</v>
      </c>
      <c r="Q234" s="139" t="s">
        <v>1712</v>
      </c>
      <c r="R234" s="66">
        <v>2</v>
      </c>
      <c r="S234" s="66" t="s">
        <v>770</v>
      </c>
      <c r="T234" s="74" t="s">
        <v>771</v>
      </c>
      <c r="U234" s="299">
        <f t="shared" si="19"/>
        <v>1</v>
      </c>
      <c r="V234" s="161"/>
    </row>
    <row r="235" spans="3:22">
      <c r="C235" s="358">
        <v>234</v>
      </c>
      <c r="D235" s="301" t="s">
        <v>187</v>
      </c>
      <c r="E235" s="139" t="s">
        <v>188</v>
      </c>
      <c r="F235" s="66">
        <v>1</v>
      </c>
      <c r="G235" s="66" t="s">
        <v>773</v>
      </c>
      <c r="H235" s="74" t="s">
        <v>771</v>
      </c>
      <c r="I235" s="299">
        <f t="shared" si="15"/>
        <v>0</v>
      </c>
      <c r="K235" s="66">
        <f t="shared" si="16"/>
        <v>0</v>
      </c>
      <c r="L235" s="66">
        <f t="shared" si="17"/>
        <v>0</v>
      </c>
      <c r="M235" s="66"/>
      <c r="N235" s="307">
        <f t="shared" si="18"/>
        <v>0</v>
      </c>
      <c r="P235" s="284" t="s">
        <v>187</v>
      </c>
      <c r="Q235" s="139" t="s">
        <v>1671</v>
      </c>
      <c r="R235" s="66">
        <v>1</v>
      </c>
      <c r="S235" s="66" t="s">
        <v>773</v>
      </c>
      <c r="T235" s="74" t="s">
        <v>771</v>
      </c>
      <c r="U235" s="299">
        <f t="shared" si="19"/>
        <v>0</v>
      </c>
      <c r="V235" s="161"/>
    </row>
    <row r="236" spans="3:22">
      <c r="C236" s="358">
        <v>235</v>
      </c>
      <c r="D236" s="301" t="s">
        <v>227</v>
      </c>
      <c r="E236" s="139" t="s">
        <v>228</v>
      </c>
      <c r="F236" s="66">
        <v>1</v>
      </c>
      <c r="G236" s="66" t="s">
        <v>773</v>
      </c>
      <c r="H236" s="74" t="s">
        <v>771</v>
      </c>
      <c r="I236" s="299">
        <f t="shared" si="15"/>
        <v>0</v>
      </c>
      <c r="K236" s="66">
        <f t="shared" si="16"/>
        <v>0</v>
      </c>
      <c r="L236" s="66">
        <f t="shared" si="17"/>
        <v>0</v>
      </c>
      <c r="M236" s="66"/>
      <c r="N236" s="307">
        <f t="shared" si="18"/>
        <v>0</v>
      </c>
      <c r="P236" s="284" t="s">
        <v>227</v>
      </c>
      <c r="Q236" s="139" t="s">
        <v>1693</v>
      </c>
      <c r="R236" s="66">
        <v>1</v>
      </c>
      <c r="S236" s="66" t="s">
        <v>773</v>
      </c>
      <c r="T236" s="74" t="s">
        <v>771</v>
      </c>
      <c r="U236" s="299">
        <f t="shared" si="19"/>
        <v>0</v>
      </c>
      <c r="V236" s="161"/>
    </row>
    <row r="237" spans="3:22">
      <c r="C237" s="358">
        <v>236</v>
      </c>
      <c r="D237" s="301" t="s">
        <v>171</v>
      </c>
      <c r="E237" s="139" t="s">
        <v>172</v>
      </c>
      <c r="F237" s="66">
        <v>2</v>
      </c>
      <c r="G237" s="66" t="s">
        <v>770</v>
      </c>
      <c r="H237" s="74" t="s">
        <v>771</v>
      </c>
      <c r="I237" s="299">
        <f t="shared" si="15"/>
        <v>1</v>
      </c>
      <c r="K237" s="66">
        <f t="shared" si="16"/>
        <v>0</v>
      </c>
      <c r="L237" s="66">
        <f t="shared" si="17"/>
        <v>0</v>
      </c>
      <c r="M237" s="66"/>
      <c r="N237" s="307">
        <f t="shared" si="18"/>
        <v>0</v>
      </c>
      <c r="P237" s="284" t="s">
        <v>171</v>
      </c>
      <c r="Q237" s="139" t="s">
        <v>1663</v>
      </c>
      <c r="R237" s="66">
        <v>2</v>
      </c>
      <c r="S237" s="66" t="s">
        <v>770</v>
      </c>
      <c r="T237" s="74" t="s">
        <v>771</v>
      </c>
      <c r="U237" s="299">
        <f t="shared" si="19"/>
        <v>1</v>
      </c>
      <c r="V237" s="161"/>
    </row>
    <row r="238" spans="3:22">
      <c r="C238" s="358">
        <v>237</v>
      </c>
      <c r="D238" s="301" t="s">
        <v>616</v>
      </c>
      <c r="E238" s="139" t="s">
        <v>617</v>
      </c>
      <c r="F238" s="66">
        <v>2</v>
      </c>
      <c r="G238" s="66" t="s">
        <v>773</v>
      </c>
      <c r="H238" s="74" t="s">
        <v>771</v>
      </c>
      <c r="I238" s="299">
        <f t="shared" si="15"/>
        <v>0</v>
      </c>
      <c r="K238" s="66">
        <f t="shared" si="16"/>
        <v>0</v>
      </c>
      <c r="L238" s="66">
        <f t="shared" si="17"/>
        <v>0</v>
      </c>
      <c r="M238" s="66"/>
      <c r="N238" s="307">
        <f t="shared" si="18"/>
        <v>0</v>
      </c>
      <c r="P238" s="284" t="s">
        <v>616</v>
      </c>
      <c r="Q238" s="139" t="s">
        <v>1891</v>
      </c>
      <c r="R238" s="66">
        <v>2</v>
      </c>
      <c r="S238" s="66" t="s">
        <v>773</v>
      </c>
      <c r="T238" s="74" t="s">
        <v>771</v>
      </c>
      <c r="U238" s="299">
        <f t="shared" si="19"/>
        <v>0</v>
      </c>
      <c r="V238" s="161"/>
    </row>
    <row r="239" spans="3:22">
      <c r="C239" s="358">
        <v>238</v>
      </c>
      <c r="D239" s="301" t="s">
        <v>358</v>
      </c>
      <c r="E239" s="139" t="s">
        <v>359</v>
      </c>
      <c r="F239" s="66">
        <v>1</v>
      </c>
      <c r="G239" s="66" t="s">
        <v>773</v>
      </c>
      <c r="H239" s="74" t="s">
        <v>771</v>
      </c>
      <c r="I239" s="299">
        <f t="shared" si="15"/>
        <v>0</v>
      </c>
      <c r="K239" s="66">
        <f t="shared" si="16"/>
        <v>0</v>
      </c>
      <c r="L239" s="66">
        <f t="shared" si="17"/>
        <v>0</v>
      </c>
      <c r="M239" s="66"/>
      <c r="N239" s="307">
        <f t="shared" si="18"/>
        <v>0</v>
      </c>
      <c r="P239" s="284" t="s">
        <v>358</v>
      </c>
      <c r="Q239" s="139" t="s">
        <v>1759</v>
      </c>
      <c r="R239" s="66">
        <v>1</v>
      </c>
      <c r="S239" s="66" t="s">
        <v>773</v>
      </c>
      <c r="T239" s="74" t="s">
        <v>771</v>
      </c>
      <c r="U239" s="299">
        <f t="shared" si="19"/>
        <v>0</v>
      </c>
      <c r="V239" s="161"/>
    </row>
    <row r="240" spans="3:22">
      <c r="C240" s="358">
        <v>239</v>
      </c>
      <c r="D240" s="301" t="s">
        <v>652</v>
      </c>
      <c r="E240" s="139" t="s">
        <v>653</v>
      </c>
      <c r="F240" s="66">
        <v>1</v>
      </c>
      <c r="G240" s="66" t="s">
        <v>773</v>
      </c>
      <c r="H240" s="74" t="s">
        <v>771</v>
      </c>
      <c r="I240" s="299">
        <f t="shared" si="15"/>
        <v>0</v>
      </c>
      <c r="K240" s="66">
        <f t="shared" si="16"/>
        <v>0</v>
      </c>
      <c r="L240" s="66">
        <f t="shared" si="17"/>
        <v>0</v>
      </c>
      <c r="M240" s="66"/>
      <c r="N240" s="307">
        <f t="shared" si="18"/>
        <v>0</v>
      </c>
      <c r="P240" s="284" t="s">
        <v>652</v>
      </c>
      <c r="Q240" s="139" t="s">
        <v>1910</v>
      </c>
      <c r="R240" s="66">
        <v>1</v>
      </c>
      <c r="S240" s="66" t="s">
        <v>773</v>
      </c>
      <c r="T240" s="74" t="s">
        <v>771</v>
      </c>
      <c r="U240" s="299">
        <f t="shared" si="19"/>
        <v>0</v>
      </c>
      <c r="V240" s="161"/>
    </row>
    <row r="241" spans="3:22">
      <c r="C241" s="358">
        <v>240</v>
      </c>
      <c r="D241" s="301" t="s">
        <v>408</v>
      </c>
      <c r="E241" s="139" t="s">
        <v>409</v>
      </c>
      <c r="F241" s="66">
        <v>2</v>
      </c>
      <c r="G241" s="66" t="s">
        <v>770</v>
      </c>
      <c r="H241" s="74" t="s">
        <v>772</v>
      </c>
      <c r="I241" s="299">
        <f t="shared" si="15"/>
        <v>1</v>
      </c>
      <c r="K241" s="66">
        <f t="shared" si="16"/>
        <v>0</v>
      </c>
      <c r="L241" s="66">
        <f t="shared" si="17"/>
        <v>0</v>
      </c>
      <c r="M241" s="66"/>
      <c r="N241" s="307">
        <f t="shared" si="18"/>
        <v>0</v>
      </c>
      <c r="P241" s="284" t="s">
        <v>408</v>
      </c>
      <c r="Q241" s="139" t="s">
        <v>1787</v>
      </c>
      <c r="R241" s="66">
        <v>2</v>
      </c>
      <c r="S241" s="66" t="s">
        <v>770</v>
      </c>
      <c r="T241" s="74" t="s">
        <v>772</v>
      </c>
      <c r="U241" s="299">
        <f t="shared" si="19"/>
        <v>1</v>
      </c>
      <c r="V241" s="161"/>
    </row>
    <row r="242" spans="3:22">
      <c r="C242" s="358">
        <v>241</v>
      </c>
      <c r="D242" s="306" t="s">
        <v>2307</v>
      </c>
      <c r="E242" s="295" t="s">
        <v>2306</v>
      </c>
      <c r="F242" s="66">
        <v>2</v>
      </c>
      <c r="G242" s="66" t="s">
        <v>773</v>
      </c>
      <c r="H242" s="74" t="s">
        <v>771</v>
      </c>
      <c r="I242" s="299">
        <f t="shared" si="15"/>
        <v>0</v>
      </c>
      <c r="K242" s="66">
        <f t="shared" si="16"/>
        <v>0</v>
      </c>
      <c r="L242" s="66">
        <f t="shared" si="17"/>
        <v>0</v>
      </c>
      <c r="M242" s="66"/>
      <c r="N242" s="307">
        <f t="shared" si="18"/>
        <v>0</v>
      </c>
      <c r="P242" s="290" t="s">
        <v>2307</v>
      </c>
      <c r="Q242" s="295" t="s">
        <v>2391</v>
      </c>
      <c r="R242" s="66">
        <v>2</v>
      </c>
      <c r="S242" s="66" t="s">
        <v>773</v>
      </c>
      <c r="T242" s="74" t="s">
        <v>771</v>
      </c>
      <c r="U242" s="299">
        <f t="shared" si="19"/>
        <v>0</v>
      </c>
      <c r="V242" s="161"/>
    </row>
    <row r="243" spans="3:22">
      <c r="C243" s="358">
        <v>242</v>
      </c>
      <c r="D243" s="301" t="s">
        <v>705</v>
      </c>
      <c r="E243" s="139" t="s">
        <v>706</v>
      </c>
      <c r="F243" s="66">
        <v>2</v>
      </c>
      <c r="G243" s="66" t="s">
        <v>770</v>
      </c>
      <c r="H243" s="74" t="s">
        <v>771</v>
      </c>
      <c r="I243" s="299">
        <f t="shared" si="15"/>
        <v>1</v>
      </c>
      <c r="K243" s="66">
        <f t="shared" si="16"/>
        <v>0</v>
      </c>
      <c r="L243" s="66">
        <f t="shared" si="17"/>
        <v>0</v>
      </c>
      <c r="M243" s="66"/>
      <c r="N243" s="307">
        <f t="shared" si="18"/>
        <v>0</v>
      </c>
      <c r="P243" s="284" t="s">
        <v>705</v>
      </c>
      <c r="Q243" s="139" t="s">
        <v>1939</v>
      </c>
      <c r="R243" s="66">
        <v>2</v>
      </c>
      <c r="S243" s="66" t="s">
        <v>770</v>
      </c>
      <c r="T243" s="74" t="s">
        <v>771</v>
      </c>
      <c r="U243" s="299">
        <f t="shared" si="19"/>
        <v>1</v>
      </c>
      <c r="V243" s="161"/>
    </row>
    <row r="244" spans="3:22">
      <c r="C244" s="358">
        <v>243</v>
      </c>
      <c r="D244" s="301" t="s">
        <v>287</v>
      </c>
      <c r="E244" s="139" t="s">
        <v>288</v>
      </c>
      <c r="F244" s="66">
        <v>2</v>
      </c>
      <c r="G244" s="66" t="s">
        <v>773</v>
      </c>
      <c r="H244" s="74" t="s">
        <v>771</v>
      </c>
      <c r="I244" s="299">
        <f t="shared" si="15"/>
        <v>0</v>
      </c>
      <c r="K244" s="66">
        <f t="shared" si="16"/>
        <v>0</v>
      </c>
      <c r="L244" s="66">
        <f t="shared" si="17"/>
        <v>0</v>
      </c>
      <c r="M244" s="66"/>
      <c r="N244" s="307">
        <f t="shared" si="18"/>
        <v>0</v>
      </c>
      <c r="P244" s="284" t="s">
        <v>287</v>
      </c>
      <c r="Q244" s="139" t="s">
        <v>1723</v>
      </c>
      <c r="R244" s="66">
        <v>2</v>
      </c>
      <c r="S244" s="66" t="s">
        <v>773</v>
      </c>
      <c r="T244" s="74" t="s">
        <v>771</v>
      </c>
      <c r="U244" s="299">
        <f t="shared" si="19"/>
        <v>0</v>
      </c>
      <c r="V244" s="161"/>
    </row>
    <row r="245" spans="3:22">
      <c r="C245" s="358">
        <v>244</v>
      </c>
      <c r="D245" s="301" t="s">
        <v>541</v>
      </c>
      <c r="E245" s="139" t="s">
        <v>542</v>
      </c>
      <c r="F245" s="66">
        <v>2</v>
      </c>
      <c r="G245" s="66" t="s">
        <v>773</v>
      </c>
      <c r="H245" s="74" t="s">
        <v>771</v>
      </c>
      <c r="I245" s="299">
        <f t="shared" si="15"/>
        <v>0</v>
      </c>
      <c r="K245" s="66">
        <f t="shared" si="16"/>
        <v>0</v>
      </c>
      <c r="L245" s="66">
        <f t="shared" si="17"/>
        <v>0</v>
      </c>
      <c r="M245" s="66"/>
      <c r="N245" s="307">
        <f t="shared" si="18"/>
        <v>0</v>
      </c>
      <c r="P245" s="284" t="s">
        <v>541</v>
      </c>
      <c r="Q245" s="139" t="s">
        <v>1852</v>
      </c>
      <c r="R245" s="66">
        <v>2</v>
      </c>
      <c r="S245" s="66" t="s">
        <v>773</v>
      </c>
      <c r="T245" s="74" t="s">
        <v>771</v>
      </c>
      <c r="U245" s="299">
        <f t="shared" si="19"/>
        <v>0</v>
      </c>
      <c r="V245" s="161"/>
    </row>
    <row r="246" spans="3:22">
      <c r="C246" s="358">
        <v>245</v>
      </c>
      <c r="D246" s="301" t="s">
        <v>314</v>
      </c>
      <c r="E246" s="139" t="s">
        <v>315</v>
      </c>
      <c r="F246" s="66">
        <v>2</v>
      </c>
      <c r="G246" s="66" t="s">
        <v>770</v>
      </c>
      <c r="H246" s="74" t="s">
        <v>772</v>
      </c>
      <c r="I246" s="299">
        <f t="shared" si="15"/>
        <v>1</v>
      </c>
      <c r="K246" s="66">
        <f t="shared" si="16"/>
        <v>0</v>
      </c>
      <c r="L246" s="66">
        <f t="shared" si="17"/>
        <v>0</v>
      </c>
      <c r="M246" s="66"/>
      <c r="N246" s="307">
        <f t="shared" si="18"/>
        <v>0</v>
      </c>
      <c r="P246" s="284" t="s">
        <v>314</v>
      </c>
      <c r="Q246" s="139" t="s">
        <v>1737</v>
      </c>
      <c r="R246" s="66">
        <v>2</v>
      </c>
      <c r="S246" s="66" t="s">
        <v>770</v>
      </c>
      <c r="T246" s="74" t="s">
        <v>772</v>
      </c>
      <c r="U246" s="299">
        <f t="shared" si="19"/>
        <v>1</v>
      </c>
      <c r="V246" s="161"/>
    </row>
    <row r="247" spans="3:22">
      <c r="C247" s="358">
        <v>246</v>
      </c>
      <c r="D247" s="301" t="s">
        <v>338</v>
      </c>
      <c r="E247" s="139" t="s">
        <v>339</v>
      </c>
      <c r="F247" s="66">
        <v>1</v>
      </c>
      <c r="G247" s="66" t="s">
        <v>773</v>
      </c>
      <c r="H247" s="74" t="s">
        <v>771</v>
      </c>
      <c r="I247" s="299">
        <f t="shared" si="15"/>
        <v>0</v>
      </c>
      <c r="K247" s="66">
        <f t="shared" si="16"/>
        <v>0</v>
      </c>
      <c r="L247" s="66">
        <f t="shared" si="17"/>
        <v>0</v>
      </c>
      <c r="M247" s="66"/>
      <c r="N247" s="307">
        <f t="shared" si="18"/>
        <v>0</v>
      </c>
      <c r="P247" s="284" t="s">
        <v>338</v>
      </c>
      <c r="Q247" s="139" t="s">
        <v>1749</v>
      </c>
      <c r="R247" s="66">
        <v>1</v>
      </c>
      <c r="S247" s="66" t="s">
        <v>773</v>
      </c>
      <c r="T247" s="74" t="s">
        <v>771</v>
      </c>
      <c r="U247" s="299">
        <f t="shared" si="19"/>
        <v>0</v>
      </c>
      <c r="V247" s="161"/>
    </row>
    <row r="248" spans="3:22">
      <c r="C248" s="358">
        <v>247</v>
      </c>
      <c r="D248" s="301" t="s">
        <v>546</v>
      </c>
      <c r="E248" s="139" t="s">
        <v>547</v>
      </c>
      <c r="F248" s="66">
        <v>1</v>
      </c>
      <c r="G248" s="66" t="s">
        <v>773</v>
      </c>
      <c r="H248" s="74" t="s">
        <v>771</v>
      </c>
      <c r="I248" s="299">
        <f t="shared" si="15"/>
        <v>0</v>
      </c>
      <c r="K248" s="66">
        <f t="shared" si="16"/>
        <v>0</v>
      </c>
      <c r="L248" s="66">
        <f t="shared" si="17"/>
        <v>0</v>
      </c>
      <c r="M248" s="66"/>
      <c r="N248" s="307">
        <f t="shared" si="18"/>
        <v>0</v>
      </c>
      <c r="P248" s="284" t="s">
        <v>546</v>
      </c>
      <c r="Q248" s="139" t="s">
        <v>1855</v>
      </c>
      <c r="R248" s="66">
        <v>1</v>
      </c>
      <c r="S248" s="66" t="s">
        <v>773</v>
      </c>
      <c r="T248" s="74" t="s">
        <v>771</v>
      </c>
      <c r="U248" s="299">
        <f t="shared" si="19"/>
        <v>0</v>
      </c>
      <c r="V248" s="161"/>
    </row>
    <row r="249" spans="3:22">
      <c r="C249" s="358">
        <v>248</v>
      </c>
      <c r="D249" s="301" t="s">
        <v>718</v>
      </c>
      <c r="E249" s="139" t="s">
        <v>719</v>
      </c>
      <c r="F249" s="66">
        <v>1</v>
      </c>
      <c r="G249" s="66" t="s">
        <v>773</v>
      </c>
      <c r="H249" s="74" t="s">
        <v>771</v>
      </c>
      <c r="I249" s="299">
        <f t="shared" si="15"/>
        <v>0</v>
      </c>
      <c r="K249" s="66">
        <f t="shared" si="16"/>
        <v>0</v>
      </c>
      <c r="L249" s="66">
        <f t="shared" si="17"/>
        <v>0</v>
      </c>
      <c r="M249" s="66"/>
      <c r="N249" s="307">
        <f t="shared" si="18"/>
        <v>0</v>
      </c>
      <c r="P249" s="284" t="s">
        <v>718</v>
      </c>
      <c r="Q249" s="139" t="s">
        <v>1946</v>
      </c>
      <c r="R249" s="66">
        <v>1</v>
      </c>
      <c r="S249" s="66" t="s">
        <v>773</v>
      </c>
      <c r="T249" s="74" t="s">
        <v>771</v>
      </c>
      <c r="U249" s="299">
        <f t="shared" si="19"/>
        <v>0</v>
      </c>
      <c r="V249" s="161"/>
    </row>
    <row r="250" spans="3:22">
      <c r="C250" s="358">
        <v>249</v>
      </c>
      <c r="D250" s="301" t="s">
        <v>503</v>
      </c>
      <c r="E250" s="139" t="s">
        <v>504</v>
      </c>
      <c r="F250" s="66">
        <v>2</v>
      </c>
      <c r="G250" s="66" t="s">
        <v>770</v>
      </c>
      <c r="H250" s="74" t="s">
        <v>771</v>
      </c>
      <c r="I250" s="299">
        <f t="shared" si="15"/>
        <v>1</v>
      </c>
      <c r="K250" s="66">
        <f t="shared" si="16"/>
        <v>0</v>
      </c>
      <c r="L250" s="66">
        <f t="shared" si="17"/>
        <v>0</v>
      </c>
      <c r="M250" s="66"/>
      <c r="N250" s="307">
        <f t="shared" si="18"/>
        <v>0</v>
      </c>
      <c r="P250" s="284" t="s">
        <v>503</v>
      </c>
      <c r="Q250" s="139" t="s">
        <v>1834</v>
      </c>
      <c r="R250" s="66">
        <v>2</v>
      </c>
      <c r="S250" s="66" t="s">
        <v>770</v>
      </c>
      <c r="T250" s="74" t="s">
        <v>771</v>
      </c>
      <c r="U250" s="299">
        <f t="shared" si="19"/>
        <v>1</v>
      </c>
      <c r="V250" s="161"/>
    </row>
    <row r="251" spans="3:22">
      <c r="C251" s="358">
        <v>250</v>
      </c>
      <c r="D251" s="301" t="s">
        <v>207</v>
      </c>
      <c r="E251" s="139" t="s">
        <v>208</v>
      </c>
      <c r="F251" s="66">
        <v>1</v>
      </c>
      <c r="G251" s="66" t="s">
        <v>773</v>
      </c>
      <c r="H251" s="74" t="s">
        <v>771</v>
      </c>
      <c r="I251" s="299">
        <f t="shared" si="15"/>
        <v>0</v>
      </c>
      <c r="K251" s="66">
        <f t="shared" si="16"/>
        <v>0</v>
      </c>
      <c r="L251" s="66">
        <f t="shared" si="17"/>
        <v>0</v>
      </c>
      <c r="M251" s="66"/>
      <c r="N251" s="307">
        <f t="shared" si="18"/>
        <v>0</v>
      </c>
      <c r="P251" s="284" t="s">
        <v>207</v>
      </c>
      <c r="Q251" s="139" t="s">
        <v>1681</v>
      </c>
      <c r="R251" s="66">
        <v>1</v>
      </c>
      <c r="S251" s="66" t="s">
        <v>773</v>
      </c>
      <c r="T251" s="74" t="s">
        <v>771</v>
      </c>
      <c r="U251" s="299">
        <f t="shared" si="19"/>
        <v>0</v>
      </c>
      <c r="V251" s="161"/>
    </row>
    <row r="252" spans="3:22">
      <c r="C252" s="358">
        <v>251</v>
      </c>
      <c r="D252" s="301" t="s">
        <v>535</v>
      </c>
      <c r="E252" s="139" t="s">
        <v>536</v>
      </c>
      <c r="F252" s="66">
        <v>2</v>
      </c>
      <c r="G252" s="66" t="s">
        <v>770</v>
      </c>
      <c r="H252" s="74" t="s">
        <v>772</v>
      </c>
      <c r="I252" s="299">
        <f t="shared" si="15"/>
        <v>1</v>
      </c>
      <c r="K252" s="66">
        <f t="shared" si="16"/>
        <v>0</v>
      </c>
      <c r="L252" s="66">
        <f t="shared" si="17"/>
        <v>0</v>
      </c>
      <c r="M252" s="66"/>
      <c r="N252" s="307">
        <f t="shared" si="18"/>
        <v>0</v>
      </c>
      <c r="P252" s="284" t="s">
        <v>535</v>
      </c>
      <c r="Q252" s="139" t="s">
        <v>1850</v>
      </c>
      <c r="R252" s="66">
        <v>2</v>
      </c>
      <c r="S252" s="66" t="s">
        <v>770</v>
      </c>
      <c r="T252" s="74" t="s">
        <v>772</v>
      </c>
      <c r="U252" s="299">
        <f t="shared" si="19"/>
        <v>1</v>
      </c>
      <c r="V252" s="161"/>
    </row>
    <row r="253" spans="3:22">
      <c r="C253" s="358">
        <v>252</v>
      </c>
      <c r="D253" s="301" t="s">
        <v>462</v>
      </c>
      <c r="E253" s="139" t="s">
        <v>463</v>
      </c>
      <c r="F253" s="66">
        <v>1</v>
      </c>
      <c r="G253" s="66" t="s">
        <v>773</v>
      </c>
      <c r="H253" s="74" t="s">
        <v>771</v>
      </c>
      <c r="I253" s="299">
        <f t="shared" si="15"/>
        <v>0</v>
      </c>
      <c r="K253" s="66">
        <f t="shared" si="16"/>
        <v>0</v>
      </c>
      <c r="L253" s="66">
        <f t="shared" si="17"/>
        <v>0</v>
      </c>
      <c r="M253" s="66"/>
      <c r="N253" s="307">
        <f t="shared" si="18"/>
        <v>0</v>
      </c>
      <c r="P253" s="284" t="s">
        <v>462</v>
      </c>
      <c r="Q253" s="139" t="s">
        <v>1814</v>
      </c>
      <c r="R253" s="66">
        <v>1</v>
      </c>
      <c r="S253" s="66" t="s">
        <v>773</v>
      </c>
      <c r="T253" s="74" t="s">
        <v>771</v>
      </c>
      <c r="U253" s="299">
        <f t="shared" si="19"/>
        <v>0</v>
      </c>
      <c r="V253" s="161"/>
    </row>
    <row r="254" spans="3:22">
      <c r="C254" s="358">
        <v>253</v>
      </c>
      <c r="D254" s="301" t="s">
        <v>366</v>
      </c>
      <c r="E254" s="139" t="s">
        <v>367</v>
      </c>
      <c r="F254" s="66">
        <v>1</v>
      </c>
      <c r="G254" s="66" t="s">
        <v>773</v>
      </c>
      <c r="H254" s="74" t="s">
        <v>771</v>
      </c>
      <c r="I254" s="299">
        <f t="shared" si="15"/>
        <v>0</v>
      </c>
      <c r="K254" s="66">
        <f t="shared" si="16"/>
        <v>0</v>
      </c>
      <c r="L254" s="66">
        <f t="shared" si="17"/>
        <v>0</v>
      </c>
      <c r="M254" s="66"/>
      <c r="N254" s="307">
        <f t="shared" si="18"/>
        <v>0</v>
      </c>
      <c r="P254" s="284" t="s">
        <v>366</v>
      </c>
      <c r="Q254" s="139" t="s">
        <v>1764</v>
      </c>
      <c r="R254" s="66">
        <v>1</v>
      </c>
      <c r="S254" s="66" t="s">
        <v>773</v>
      </c>
      <c r="T254" s="74" t="s">
        <v>771</v>
      </c>
      <c r="U254" s="299">
        <f t="shared" si="19"/>
        <v>0</v>
      </c>
      <c r="V254" s="161"/>
    </row>
    <row r="255" spans="3:22">
      <c r="C255" s="358">
        <v>254</v>
      </c>
      <c r="D255" s="301" t="s">
        <v>556</v>
      </c>
      <c r="E255" s="139" t="s">
        <v>557</v>
      </c>
      <c r="F255" s="66">
        <v>2</v>
      </c>
      <c r="G255" s="66" t="s">
        <v>770</v>
      </c>
      <c r="H255" s="74" t="s">
        <v>772</v>
      </c>
      <c r="I255" s="299">
        <f t="shared" si="15"/>
        <v>1</v>
      </c>
      <c r="K255" s="66">
        <f t="shared" si="16"/>
        <v>0</v>
      </c>
      <c r="L255" s="66">
        <f t="shared" si="17"/>
        <v>0</v>
      </c>
      <c r="M255" s="66"/>
      <c r="N255" s="307">
        <f t="shared" si="18"/>
        <v>0</v>
      </c>
      <c r="P255" s="284" t="s">
        <v>556</v>
      </c>
      <c r="Q255" s="139" t="s">
        <v>1860</v>
      </c>
      <c r="R255" s="66">
        <v>2</v>
      </c>
      <c r="S255" s="66" t="s">
        <v>770</v>
      </c>
      <c r="T255" s="74" t="s">
        <v>772</v>
      </c>
      <c r="U255" s="299">
        <f t="shared" si="19"/>
        <v>1</v>
      </c>
      <c r="V255" s="161"/>
    </row>
    <row r="256" spans="3:22">
      <c r="C256" s="358">
        <v>255</v>
      </c>
      <c r="D256" s="301" t="s">
        <v>352</v>
      </c>
      <c r="E256" s="139" t="s">
        <v>353</v>
      </c>
      <c r="F256" s="66">
        <v>2</v>
      </c>
      <c r="G256" s="66" t="s">
        <v>770</v>
      </c>
      <c r="H256" s="74" t="s">
        <v>771</v>
      </c>
      <c r="I256" s="299">
        <f t="shared" si="15"/>
        <v>1</v>
      </c>
      <c r="K256" s="66">
        <f t="shared" si="16"/>
        <v>0</v>
      </c>
      <c r="L256" s="66">
        <f t="shared" si="17"/>
        <v>0</v>
      </c>
      <c r="M256" s="66"/>
      <c r="N256" s="307">
        <f t="shared" si="18"/>
        <v>0</v>
      </c>
      <c r="P256" s="284" t="s">
        <v>352</v>
      </c>
      <c r="Q256" s="139" t="s">
        <v>1756</v>
      </c>
      <c r="R256" s="66">
        <v>2</v>
      </c>
      <c r="S256" s="66" t="s">
        <v>770</v>
      </c>
      <c r="T256" s="74" t="s">
        <v>771</v>
      </c>
      <c r="U256" s="299">
        <f t="shared" si="19"/>
        <v>1</v>
      </c>
      <c r="V256" s="161"/>
    </row>
    <row r="257" spans="3:22">
      <c r="C257" s="358">
        <v>256</v>
      </c>
      <c r="D257" s="301" t="s">
        <v>580</v>
      </c>
      <c r="E257" s="139" t="s">
        <v>581</v>
      </c>
      <c r="F257" s="66">
        <v>1</v>
      </c>
      <c r="G257" s="66" t="s">
        <v>773</v>
      </c>
      <c r="H257" s="74" t="s">
        <v>771</v>
      </c>
      <c r="I257" s="299">
        <f t="shared" si="15"/>
        <v>0</v>
      </c>
      <c r="K257" s="66">
        <f t="shared" si="16"/>
        <v>0</v>
      </c>
      <c r="L257" s="66">
        <f t="shared" si="17"/>
        <v>0</v>
      </c>
      <c r="M257" s="66"/>
      <c r="N257" s="307">
        <f t="shared" si="18"/>
        <v>0</v>
      </c>
      <c r="P257" s="284" t="s">
        <v>580</v>
      </c>
      <c r="Q257" s="139" t="s">
        <v>1872</v>
      </c>
      <c r="R257" s="66">
        <v>1</v>
      </c>
      <c r="S257" s="66" t="s">
        <v>773</v>
      </c>
      <c r="T257" s="74" t="s">
        <v>771</v>
      </c>
      <c r="U257" s="299">
        <f t="shared" si="19"/>
        <v>0</v>
      </c>
      <c r="V257" s="161"/>
    </row>
    <row r="258" spans="3:22">
      <c r="C258" s="358">
        <v>257</v>
      </c>
      <c r="D258" s="301" t="s">
        <v>363</v>
      </c>
      <c r="E258" s="139" t="s">
        <v>1135</v>
      </c>
      <c r="F258" s="66">
        <v>1</v>
      </c>
      <c r="G258" s="66" t="s">
        <v>773</v>
      </c>
      <c r="H258" s="74" t="s">
        <v>771</v>
      </c>
      <c r="I258" s="299">
        <f t="shared" ref="I258:I321" si="20">IF(+G258="cash",1,0)</f>
        <v>0</v>
      </c>
      <c r="K258" s="66">
        <f t="shared" ref="K258:K321" si="21">+F258-R258</f>
        <v>0</v>
      </c>
      <c r="L258" s="66">
        <f t="shared" ref="L258:L321" si="22">+I258-U258</f>
        <v>0</v>
      </c>
      <c r="M258" s="66"/>
      <c r="N258" s="307">
        <f t="shared" ref="N258:N321" si="23">+P258-D258</f>
        <v>0</v>
      </c>
      <c r="P258" s="284" t="s">
        <v>363</v>
      </c>
      <c r="Q258" s="139" t="s">
        <v>1762</v>
      </c>
      <c r="R258" s="66">
        <v>1</v>
      </c>
      <c r="S258" s="66" t="s">
        <v>773</v>
      </c>
      <c r="T258" s="74" t="s">
        <v>771</v>
      </c>
      <c r="U258" s="299">
        <f t="shared" ref="U258:U321" si="24">IF(+S258="cash",1,0)</f>
        <v>0</v>
      </c>
      <c r="V258" s="161"/>
    </row>
    <row r="259" spans="3:22">
      <c r="C259" s="358">
        <v>258</v>
      </c>
      <c r="D259" s="301" t="s">
        <v>285</v>
      </c>
      <c r="E259" s="139" t="s">
        <v>286</v>
      </c>
      <c r="F259" s="66">
        <v>2</v>
      </c>
      <c r="G259" s="66" t="s">
        <v>773</v>
      </c>
      <c r="H259" s="74" t="s">
        <v>771</v>
      </c>
      <c r="I259" s="299">
        <f t="shared" si="20"/>
        <v>0</v>
      </c>
      <c r="K259" s="66">
        <f t="shared" si="21"/>
        <v>0</v>
      </c>
      <c r="L259" s="66">
        <f t="shared" si="22"/>
        <v>0</v>
      </c>
      <c r="M259" s="66"/>
      <c r="N259" s="307">
        <f t="shared" si="23"/>
        <v>0</v>
      </c>
      <c r="P259" s="284" t="s">
        <v>285</v>
      </c>
      <c r="Q259" s="139" t="s">
        <v>1722</v>
      </c>
      <c r="R259" s="66">
        <v>2</v>
      </c>
      <c r="S259" s="66" t="s">
        <v>773</v>
      </c>
      <c r="T259" s="74" t="s">
        <v>771</v>
      </c>
      <c r="U259" s="299">
        <f t="shared" si="24"/>
        <v>0</v>
      </c>
      <c r="V259" s="161"/>
    </row>
    <row r="260" spans="3:22">
      <c r="C260" s="358">
        <v>259</v>
      </c>
      <c r="D260" s="301" t="s">
        <v>492</v>
      </c>
      <c r="E260" s="113" t="s">
        <v>493</v>
      </c>
      <c r="F260" s="66">
        <v>2</v>
      </c>
      <c r="G260" s="611" t="s">
        <v>773</v>
      </c>
      <c r="H260" s="74" t="s">
        <v>771</v>
      </c>
      <c r="I260" s="299">
        <f t="shared" si="20"/>
        <v>0</v>
      </c>
      <c r="K260" s="66">
        <f t="shared" si="21"/>
        <v>0</v>
      </c>
      <c r="L260" s="66">
        <f t="shared" si="22"/>
        <v>0</v>
      </c>
      <c r="M260" s="66"/>
      <c r="N260" s="307">
        <f t="shared" si="23"/>
        <v>0</v>
      </c>
      <c r="P260" s="284" t="s">
        <v>492</v>
      </c>
      <c r="Q260" s="113" t="s">
        <v>1828</v>
      </c>
      <c r="R260" s="66">
        <v>2</v>
      </c>
      <c r="S260" s="611" t="s">
        <v>773</v>
      </c>
      <c r="T260" s="74" t="s">
        <v>771</v>
      </c>
      <c r="U260" s="299">
        <f t="shared" si="24"/>
        <v>0</v>
      </c>
      <c r="V260" s="161"/>
    </row>
    <row r="261" spans="3:22">
      <c r="C261" s="358">
        <v>260</v>
      </c>
      <c r="D261" s="301" t="s">
        <v>382</v>
      </c>
      <c r="E261" s="113" t="s">
        <v>383</v>
      </c>
      <c r="F261" s="66">
        <v>1</v>
      </c>
      <c r="G261" s="66" t="s">
        <v>773</v>
      </c>
      <c r="H261" s="74" t="s">
        <v>771</v>
      </c>
      <c r="I261" s="299">
        <f t="shared" si="20"/>
        <v>0</v>
      </c>
      <c r="K261" s="66">
        <f t="shared" si="21"/>
        <v>0</v>
      </c>
      <c r="L261" s="66">
        <f t="shared" si="22"/>
        <v>0</v>
      </c>
      <c r="M261" s="66"/>
      <c r="N261" s="307">
        <f t="shared" si="23"/>
        <v>0</v>
      </c>
      <c r="P261" s="284" t="s">
        <v>382</v>
      </c>
      <c r="Q261" s="113" t="s">
        <v>1773</v>
      </c>
      <c r="R261" s="66">
        <v>1</v>
      </c>
      <c r="S261" s="66" t="s">
        <v>773</v>
      </c>
      <c r="T261" s="74" t="s">
        <v>771</v>
      </c>
      <c r="U261" s="299">
        <f t="shared" si="24"/>
        <v>0</v>
      </c>
      <c r="V261" s="161"/>
    </row>
    <row r="262" spans="3:22">
      <c r="C262" s="358">
        <v>261</v>
      </c>
      <c r="D262" s="301" t="s">
        <v>326</v>
      </c>
      <c r="E262" s="113" t="s">
        <v>327</v>
      </c>
      <c r="F262" s="66">
        <v>2</v>
      </c>
      <c r="G262" s="66" t="s">
        <v>773</v>
      </c>
      <c r="H262" s="74" t="s">
        <v>771</v>
      </c>
      <c r="I262" s="299">
        <f t="shared" si="20"/>
        <v>0</v>
      </c>
      <c r="K262" s="66">
        <f t="shared" si="21"/>
        <v>0</v>
      </c>
      <c r="L262" s="66">
        <f t="shared" si="22"/>
        <v>0</v>
      </c>
      <c r="M262" s="66"/>
      <c r="N262" s="307">
        <f t="shared" si="23"/>
        <v>0</v>
      </c>
      <c r="P262" s="284" t="s">
        <v>326</v>
      </c>
      <c r="Q262" s="113" t="s">
        <v>1743</v>
      </c>
      <c r="R262" s="66">
        <v>2</v>
      </c>
      <c r="S262" s="66" t="s">
        <v>773</v>
      </c>
      <c r="T262" s="74" t="s">
        <v>771</v>
      </c>
      <c r="U262" s="299">
        <f t="shared" si="24"/>
        <v>0</v>
      </c>
      <c r="V262" s="161"/>
    </row>
    <row r="263" spans="3:22">
      <c r="C263" s="358">
        <v>262</v>
      </c>
      <c r="D263" s="301" t="s">
        <v>458</v>
      </c>
      <c r="E263" s="113" t="s">
        <v>459</v>
      </c>
      <c r="F263" s="66">
        <v>2</v>
      </c>
      <c r="G263" s="66" t="s">
        <v>773</v>
      </c>
      <c r="H263" s="74" t="s">
        <v>772</v>
      </c>
      <c r="I263" s="299">
        <f t="shared" si="20"/>
        <v>0</v>
      </c>
      <c r="K263" s="66">
        <f t="shared" si="21"/>
        <v>0</v>
      </c>
      <c r="L263" s="66">
        <f t="shared" si="22"/>
        <v>0</v>
      </c>
      <c r="M263" s="66"/>
      <c r="N263" s="307">
        <f t="shared" si="23"/>
        <v>0</v>
      </c>
      <c r="P263" s="284" t="s">
        <v>458</v>
      </c>
      <c r="Q263" s="113" t="s">
        <v>1812</v>
      </c>
      <c r="R263" s="66">
        <v>2</v>
      </c>
      <c r="S263" s="66" t="s">
        <v>773</v>
      </c>
      <c r="T263" s="74" t="s">
        <v>772</v>
      </c>
      <c r="U263" s="299">
        <f t="shared" si="24"/>
        <v>0</v>
      </c>
      <c r="V263" s="161"/>
    </row>
    <row r="264" spans="3:22">
      <c r="C264" s="358">
        <v>263</v>
      </c>
      <c r="D264" s="301" t="s">
        <v>592</v>
      </c>
      <c r="E264" s="113" t="s">
        <v>593</v>
      </c>
      <c r="F264" s="66">
        <v>1</v>
      </c>
      <c r="G264" s="66" t="s">
        <v>773</v>
      </c>
      <c r="H264" s="74" t="s">
        <v>771</v>
      </c>
      <c r="I264" s="299">
        <f t="shared" si="20"/>
        <v>0</v>
      </c>
      <c r="K264" s="66">
        <f t="shared" si="21"/>
        <v>0</v>
      </c>
      <c r="L264" s="66">
        <f t="shared" si="22"/>
        <v>0</v>
      </c>
      <c r="M264" s="66"/>
      <c r="N264" s="307">
        <f t="shared" si="23"/>
        <v>0</v>
      </c>
      <c r="P264" s="284" t="s">
        <v>592</v>
      </c>
      <c r="Q264" s="113" t="s">
        <v>1878</v>
      </c>
      <c r="R264" s="66">
        <v>1</v>
      </c>
      <c r="S264" s="66" t="s">
        <v>773</v>
      </c>
      <c r="T264" s="74" t="s">
        <v>771</v>
      </c>
      <c r="U264" s="299">
        <f t="shared" si="24"/>
        <v>0</v>
      </c>
      <c r="V264" s="161"/>
    </row>
    <row r="265" spans="3:22">
      <c r="C265" s="358">
        <v>264</v>
      </c>
      <c r="D265" s="311" t="s">
        <v>1418</v>
      </c>
      <c r="E265" s="113" t="s">
        <v>1417</v>
      </c>
      <c r="F265" s="66">
        <v>2</v>
      </c>
      <c r="G265" s="66" t="s">
        <v>773</v>
      </c>
      <c r="H265" s="74" t="s">
        <v>771</v>
      </c>
      <c r="I265" s="299">
        <f t="shared" si="20"/>
        <v>0</v>
      </c>
      <c r="K265" s="66">
        <f t="shared" si="21"/>
        <v>0</v>
      </c>
      <c r="L265" s="66">
        <f t="shared" si="22"/>
        <v>0</v>
      </c>
      <c r="M265" s="66"/>
      <c r="N265" s="307">
        <f t="shared" si="23"/>
        <v>0</v>
      </c>
      <c r="P265" s="296" t="s">
        <v>1418</v>
      </c>
      <c r="Q265" s="113" t="s">
        <v>1967</v>
      </c>
      <c r="R265" s="66">
        <v>2</v>
      </c>
      <c r="S265" s="66" t="s">
        <v>773</v>
      </c>
      <c r="T265" s="74" t="s">
        <v>771</v>
      </c>
      <c r="U265" s="299">
        <f t="shared" si="24"/>
        <v>0</v>
      </c>
      <c r="V265" s="161"/>
    </row>
    <row r="266" spans="3:22">
      <c r="C266" s="358">
        <v>265</v>
      </c>
      <c r="D266" s="301" t="s">
        <v>442</v>
      </c>
      <c r="E266" s="139" t="s">
        <v>443</v>
      </c>
      <c r="F266" s="66">
        <v>2</v>
      </c>
      <c r="G266" s="66" t="s">
        <v>770</v>
      </c>
      <c r="H266" s="74" t="s">
        <v>771</v>
      </c>
      <c r="I266" s="299">
        <f t="shared" si="20"/>
        <v>1</v>
      </c>
      <c r="K266" s="66">
        <f t="shared" si="21"/>
        <v>0</v>
      </c>
      <c r="L266" s="66">
        <f t="shared" si="22"/>
        <v>0</v>
      </c>
      <c r="M266" s="66"/>
      <c r="N266" s="307">
        <f t="shared" si="23"/>
        <v>0</v>
      </c>
      <c r="P266" s="284" t="s">
        <v>442</v>
      </c>
      <c r="Q266" s="139" t="s">
        <v>1804</v>
      </c>
      <c r="R266" s="66">
        <v>2</v>
      </c>
      <c r="S266" s="66" t="s">
        <v>770</v>
      </c>
      <c r="T266" s="74" t="s">
        <v>771</v>
      </c>
      <c r="U266" s="299">
        <f t="shared" si="24"/>
        <v>1</v>
      </c>
      <c r="V266" s="161"/>
    </row>
    <row r="267" spans="3:22">
      <c r="C267" s="358">
        <v>266</v>
      </c>
      <c r="D267" s="301" t="s">
        <v>707</v>
      </c>
      <c r="E267" s="139" t="s">
        <v>708</v>
      </c>
      <c r="F267" s="66">
        <v>2</v>
      </c>
      <c r="G267" s="611" t="s">
        <v>773</v>
      </c>
      <c r="H267" s="74" t="s">
        <v>771</v>
      </c>
      <c r="I267" s="612">
        <f t="shared" si="20"/>
        <v>0</v>
      </c>
      <c r="K267" s="66">
        <f t="shared" si="21"/>
        <v>0</v>
      </c>
      <c r="L267" s="66">
        <f t="shared" si="22"/>
        <v>0</v>
      </c>
      <c r="M267" s="66"/>
      <c r="N267" s="307">
        <f t="shared" si="23"/>
        <v>0</v>
      </c>
      <c r="P267" s="284" t="s">
        <v>707</v>
      </c>
      <c r="Q267" s="139" t="s">
        <v>1940</v>
      </c>
      <c r="R267" s="66">
        <v>2</v>
      </c>
      <c r="S267" s="611" t="s">
        <v>773</v>
      </c>
      <c r="T267" s="74" t="s">
        <v>771</v>
      </c>
      <c r="U267" s="612">
        <f t="shared" si="24"/>
        <v>0</v>
      </c>
      <c r="V267" s="161"/>
    </row>
    <row r="268" spans="3:22">
      <c r="C268" s="358">
        <v>267</v>
      </c>
      <c r="D268" s="301" t="s">
        <v>590</v>
      </c>
      <c r="E268" s="139" t="s">
        <v>591</v>
      </c>
      <c r="F268" s="66">
        <v>1</v>
      </c>
      <c r="G268" s="66" t="s">
        <v>773</v>
      </c>
      <c r="H268" s="74" t="s">
        <v>771</v>
      </c>
      <c r="I268" s="299">
        <f t="shared" si="20"/>
        <v>0</v>
      </c>
      <c r="K268" s="66">
        <f t="shared" si="21"/>
        <v>0</v>
      </c>
      <c r="L268" s="66">
        <f t="shared" si="22"/>
        <v>0</v>
      </c>
      <c r="M268" s="66"/>
      <c r="N268" s="307">
        <f t="shared" si="23"/>
        <v>0</v>
      </c>
      <c r="P268" s="284" t="s">
        <v>590</v>
      </c>
      <c r="Q268" s="139" t="s">
        <v>1877</v>
      </c>
      <c r="R268" s="66">
        <v>1</v>
      </c>
      <c r="S268" s="66" t="s">
        <v>773</v>
      </c>
      <c r="T268" s="74" t="s">
        <v>771</v>
      </c>
      <c r="U268" s="299">
        <f t="shared" si="24"/>
        <v>0</v>
      </c>
      <c r="V268" s="161"/>
    </row>
    <row r="269" spans="3:22">
      <c r="C269" s="358">
        <v>268</v>
      </c>
      <c r="D269" s="301" t="s">
        <v>271</v>
      </c>
      <c r="E269" s="139" t="s">
        <v>272</v>
      </c>
      <c r="F269" s="66">
        <v>2</v>
      </c>
      <c r="G269" s="66" t="s">
        <v>770</v>
      </c>
      <c r="H269" s="74" t="s">
        <v>772</v>
      </c>
      <c r="I269" s="299">
        <f t="shared" si="20"/>
        <v>1</v>
      </c>
      <c r="K269" s="66">
        <f t="shared" si="21"/>
        <v>0</v>
      </c>
      <c r="L269" s="66">
        <f t="shared" si="22"/>
        <v>0</v>
      </c>
      <c r="M269" s="66"/>
      <c r="N269" s="307">
        <f t="shared" si="23"/>
        <v>0</v>
      </c>
      <c r="P269" s="284" t="s">
        <v>271</v>
      </c>
      <c r="Q269" s="139" t="s">
        <v>2496</v>
      </c>
      <c r="R269" s="66">
        <v>2</v>
      </c>
      <c r="S269" s="66" t="s">
        <v>770</v>
      </c>
      <c r="T269" s="74" t="s">
        <v>772</v>
      </c>
      <c r="U269" s="299">
        <f t="shared" si="24"/>
        <v>1</v>
      </c>
      <c r="V269" s="161"/>
    </row>
    <row r="270" spans="3:22" ht="15.75" customHeight="1">
      <c r="C270" s="358">
        <v>269</v>
      </c>
      <c r="D270" s="301" t="s">
        <v>231</v>
      </c>
      <c r="E270" s="139" t="s">
        <v>232</v>
      </c>
      <c r="F270" s="66">
        <v>2</v>
      </c>
      <c r="G270" s="611" t="s">
        <v>773</v>
      </c>
      <c r="H270" s="74" t="s">
        <v>771</v>
      </c>
      <c r="I270" s="299">
        <f t="shared" si="20"/>
        <v>0</v>
      </c>
      <c r="K270" s="66">
        <f t="shared" si="21"/>
        <v>0</v>
      </c>
      <c r="L270" s="66">
        <f t="shared" si="22"/>
        <v>0</v>
      </c>
      <c r="M270" s="66"/>
      <c r="N270" s="307">
        <f t="shared" si="23"/>
        <v>0</v>
      </c>
      <c r="P270" s="284" t="s">
        <v>231</v>
      </c>
      <c r="Q270" s="139" t="s">
        <v>1695</v>
      </c>
      <c r="R270" s="66">
        <v>2</v>
      </c>
      <c r="S270" s="611" t="s">
        <v>773</v>
      </c>
      <c r="T270" s="74" t="s">
        <v>771</v>
      </c>
      <c r="U270" s="299">
        <f t="shared" si="24"/>
        <v>0</v>
      </c>
      <c r="V270" s="161"/>
    </row>
    <row r="271" spans="3:22">
      <c r="C271" s="358">
        <v>270</v>
      </c>
      <c r="D271" s="301" t="s">
        <v>191</v>
      </c>
      <c r="E271" s="139" t="s">
        <v>192</v>
      </c>
      <c r="F271" s="66">
        <v>2</v>
      </c>
      <c r="G271" s="66" t="s">
        <v>773</v>
      </c>
      <c r="H271" s="74" t="s">
        <v>772</v>
      </c>
      <c r="I271" s="299">
        <f t="shared" si="20"/>
        <v>0</v>
      </c>
      <c r="K271" s="66">
        <f t="shared" si="21"/>
        <v>0</v>
      </c>
      <c r="L271" s="66">
        <f t="shared" si="22"/>
        <v>0</v>
      </c>
      <c r="M271" s="66"/>
      <c r="N271" s="307">
        <f t="shared" si="23"/>
        <v>0</v>
      </c>
      <c r="P271" s="284" t="s">
        <v>191</v>
      </c>
      <c r="Q271" s="139" t="s">
        <v>1673</v>
      </c>
      <c r="R271" s="66">
        <v>2</v>
      </c>
      <c r="S271" s="66" t="s">
        <v>773</v>
      </c>
      <c r="T271" s="74" t="s">
        <v>772</v>
      </c>
      <c r="U271" s="299">
        <f t="shared" si="24"/>
        <v>0</v>
      </c>
      <c r="V271" s="161"/>
    </row>
    <row r="272" spans="3:22">
      <c r="C272" s="358">
        <v>271</v>
      </c>
      <c r="D272" s="301" t="s">
        <v>505</v>
      </c>
      <c r="E272" s="139" t="s">
        <v>506</v>
      </c>
      <c r="F272" s="66">
        <v>1</v>
      </c>
      <c r="G272" s="66" t="s">
        <v>773</v>
      </c>
      <c r="H272" s="74" t="s">
        <v>771</v>
      </c>
      <c r="I272" s="299">
        <f t="shared" si="20"/>
        <v>0</v>
      </c>
      <c r="K272" s="66">
        <f t="shared" si="21"/>
        <v>0</v>
      </c>
      <c r="L272" s="66">
        <f t="shared" si="22"/>
        <v>0</v>
      </c>
      <c r="M272" s="66"/>
      <c r="N272" s="307">
        <f t="shared" si="23"/>
        <v>0</v>
      </c>
      <c r="P272" s="284" t="s">
        <v>505</v>
      </c>
      <c r="Q272" s="139" t="s">
        <v>1835</v>
      </c>
      <c r="R272" s="66">
        <v>1</v>
      </c>
      <c r="S272" s="66" t="s">
        <v>773</v>
      </c>
      <c r="T272" s="74" t="s">
        <v>771</v>
      </c>
      <c r="U272" s="299">
        <f t="shared" si="24"/>
        <v>0</v>
      </c>
      <c r="V272" s="161"/>
    </row>
    <row r="273" spans="3:22">
      <c r="C273" s="358">
        <v>272</v>
      </c>
      <c r="D273" s="301" t="s">
        <v>699</v>
      </c>
      <c r="E273" s="139" t="s">
        <v>700</v>
      </c>
      <c r="F273" s="66">
        <v>2</v>
      </c>
      <c r="G273" s="66" t="s">
        <v>770</v>
      </c>
      <c r="H273" s="74" t="s">
        <v>772</v>
      </c>
      <c r="I273" s="299">
        <f t="shared" si="20"/>
        <v>1</v>
      </c>
      <c r="K273" s="66">
        <f t="shared" si="21"/>
        <v>0</v>
      </c>
      <c r="L273" s="66">
        <f t="shared" si="22"/>
        <v>0</v>
      </c>
      <c r="M273" s="66"/>
      <c r="N273" s="307">
        <f t="shared" si="23"/>
        <v>0</v>
      </c>
      <c r="P273" s="284" t="s">
        <v>699</v>
      </c>
      <c r="Q273" s="139" t="s">
        <v>1936</v>
      </c>
      <c r="R273" s="66">
        <v>2</v>
      </c>
      <c r="S273" s="66" t="s">
        <v>770</v>
      </c>
      <c r="T273" s="74" t="s">
        <v>772</v>
      </c>
      <c r="U273" s="299">
        <f t="shared" si="24"/>
        <v>1</v>
      </c>
      <c r="V273" s="161"/>
    </row>
    <row r="274" spans="3:22">
      <c r="C274" s="358">
        <v>273</v>
      </c>
      <c r="D274" s="301" t="s">
        <v>562</v>
      </c>
      <c r="E274" s="139" t="s">
        <v>563</v>
      </c>
      <c r="F274" s="66">
        <v>2</v>
      </c>
      <c r="G274" s="66" t="s">
        <v>773</v>
      </c>
      <c r="H274" s="74" t="s">
        <v>771</v>
      </c>
      <c r="I274" s="299">
        <f t="shared" si="20"/>
        <v>0</v>
      </c>
      <c r="K274" s="66">
        <f t="shared" si="21"/>
        <v>0</v>
      </c>
      <c r="L274" s="66">
        <f t="shared" si="22"/>
        <v>0</v>
      </c>
      <c r="M274" s="66"/>
      <c r="N274" s="307">
        <f t="shared" si="23"/>
        <v>0</v>
      </c>
      <c r="P274" s="284" t="s">
        <v>562</v>
      </c>
      <c r="Q274" s="139" t="s">
        <v>1863</v>
      </c>
      <c r="R274" s="66">
        <v>2</v>
      </c>
      <c r="S274" s="66" t="s">
        <v>773</v>
      </c>
      <c r="T274" s="74" t="s">
        <v>771</v>
      </c>
      <c r="U274" s="299">
        <f t="shared" si="24"/>
        <v>0</v>
      </c>
      <c r="V274" s="161"/>
    </row>
    <row r="275" spans="3:22">
      <c r="C275" s="358">
        <v>274</v>
      </c>
      <c r="D275" s="301" t="s">
        <v>584</v>
      </c>
      <c r="E275" s="139" t="s">
        <v>585</v>
      </c>
      <c r="F275" s="66">
        <v>1</v>
      </c>
      <c r="G275" s="66" t="s">
        <v>773</v>
      </c>
      <c r="H275" s="74" t="s">
        <v>771</v>
      </c>
      <c r="I275" s="299">
        <f t="shared" si="20"/>
        <v>0</v>
      </c>
      <c r="K275" s="66">
        <f t="shared" si="21"/>
        <v>0</v>
      </c>
      <c r="L275" s="66">
        <f t="shared" si="22"/>
        <v>0</v>
      </c>
      <c r="M275" s="66"/>
      <c r="N275" s="307">
        <f t="shared" si="23"/>
        <v>0</v>
      </c>
      <c r="P275" s="284" t="s">
        <v>584</v>
      </c>
      <c r="Q275" s="139" t="s">
        <v>1874</v>
      </c>
      <c r="R275" s="66">
        <v>1</v>
      </c>
      <c r="S275" s="66" t="s">
        <v>773</v>
      </c>
      <c r="T275" s="74" t="s">
        <v>771</v>
      </c>
      <c r="U275" s="299">
        <f t="shared" si="24"/>
        <v>0</v>
      </c>
      <c r="V275" s="161"/>
    </row>
    <row r="276" spans="3:22">
      <c r="C276" s="358">
        <v>275</v>
      </c>
      <c r="D276" s="309" t="s">
        <v>1476</v>
      </c>
      <c r="E276" t="s">
        <v>1546</v>
      </c>
      <c r="F276" s="66">
        <v>2</v>
      </c>
      <c r="G276" s="66" t="s">
        <v>773</v>
      </c>
      <c r="H276" s="74" t="s">
        <v>771</v>
      </c>
      <c r="I276" s="299">
        <f t="shared" si="20"/>
        <v>0</v>
      </c>
      <c r="K276" s="66">
        <f t="shared" si="21"/>
        <v>0</v>
      </c>
      <c r="L276" s="66">
        <f t="shared" si="22"/>
        <v>0</v>
      </c>
      <c r="M276" s="66"/>
      <c r="N276" s="307">
        <f t="shared" si="23"/>
        <v>0</v>
      </c>
      <c r="P276" s="294" t="s">
        <v>1476</v>
      </c>
      <c r="Q276" t="s">
        <v>1525</v>
      </c>
      <c r="R276" s="66">
        <v>2</v>
      </c>
      <c r="S276" s="66" t="s">
        <v>773</v>
      </c>
      <c r="T276" s="74" t="s">
        <v>771</v>
      </c>
      <c r="U276" s="299">
        <f t="shared" si="24"/>
        <v>0</v>
      </c>
      <c r="V276" s="161"/>
    </row>
    <row r="277" spans="3:22">
      <c r="C277" s="358">
        <v>276</v>
      </c>
      <c r="D277" s="311" t="s">
        <v>1426</v>
      </c>
      <c r="E277" t="s">
        <v>1549</v>
      </c>
      <c r="F277" s="66">
        <v>2</v>
      </c>
      <c r="G277" s="66" t="s">
        <v>773</v>
      </c>
      <c r="H277" s="74" t="s">
        <v>771</v>
      </c>
      <c r="I277" s="299">
        <f t="shared" si="20"/>
        <v>0</v>
      </c>
      <c r="K277" s="66">
        <f t="shared" si="21"/>
        <v>0</v>
      </c>
      <c r="L277" s="66">
        <f t="shared" si="22"/>
        <v>0</v>
      </c>
      <c r="M277" s="66"/>
      <c r="N277" s="307">
        <f t="shared" si="23"/>
        <v>0</v>
      </c>
      <c r="P277" s="296" t="s">
        <v>1426</v>
      </c>
      <c r="Q277" t="s">
        <v>1966</v>
      </c>
      <c r="R277" s="66">
        <v>2</v>
      </c>
      <c r="S277" s="66" t="s">
        <v>773</v>
      </c>
      <c r="T277" s="74" t="s">
        <v>771</v>
      </c>
      <c r="U277" s="299">
        <f t="shared" si="24"/>
        <v>0</v>
      </c>
      <c r="V277" s="161"/>
    </row>
    <row r="278" spans="3:22">
      <c r="C278" s="358">
        <v>277</v>
      </c>
      <c r="D278" s="311" t="s">
        <v>1427</v>
      </c>
      <c r="E278" t="s">
        <v>1550</v>
      </c>
      <c r="F278" s="66">
        <v>2</v>
      </c>
      <c r="G278" s="66" t="s">
        <v>773</v>
      </c>
      <c r="H278" s="74" t="s">
        <v>771</v>
      </c>
      <c r="I278" s="299">
        <f t="shared" si="20"/>
        <v>0</v>
      </c>
      <c r="K278" s="66">
        <f t="shared" si="21"/>
        <v>0</v>
      </c>
      <c r="L278" s="66">
        <f t="shared" si="22"/>
        <v>0</v>
      </c>
      <c r="M278" s="66"/>
      <c r="N278" s="307">
        <f t="shared" si="23"/>
        <v>0</v>
      </c>
      <c r="P278" s="296" t="s">
        <v>1427</v>
      </c>
      <c r="Q278" t="s">
        <v>1959</v>
      </c>
      <c r="R278" s="66">
        <v>2</v>
      </c>
      <c r="S278" s="66" t="s">
        <v>773</v>
      </c>
      <c r="T278" s="74" t="s">
        <v>771</v>
      </c>
      <c r="U278" s="299">
        <f t="shared" si="24"/>
        <v>0</v>
      </c>
      <c r="V278" s="161"/>
    </row>
    <row r="279" spans="3:22">
      <c r="C279" s="358">
        <v>278</v>
      </c>
      <c r="D279" s="301" t="s">
        <v>630</v>
      </c>
      <c r="E279" s="139" t="s">
        <v>631</v>
      </c>
      <c r="F279" s="66">
        <v>2</v>
      </c>
      <c r="G279" s="66" t="s">
        <v>770</v>
      </c>
      <c r="H279" s="74" t="s">
        <v>772</v>
      </c>
      <c r="I279" s="299">
        <f t="shared" si="20"/>
        <v>1</v>
      </c>
      <c r="K279" s="66">
        <f t="shared" si="21"/>
        <v>0</v>
      </c>
      <c r="L279" s="66">
        <f t="shared" si="22"/>
        <v>0</v>
      </c>
      <c r="M279" s="66"/>
      <c r="N279" s="307">
        <f t="shared" si="23"/>
        <v>0</v>
      </c>
      <c r="P279" s="284" t="s">
        <v>630</v>
      </c>
      <c r="Q279" s="139" t="s">
        <v>1898</v>
      </c>
      <c r="R279" s="66">
        <v>2</v>
      </c>
      <c r="S279" s="66" t="s">
        <v>770</v>
      </c>
      <c r="T279" s="74" t="s">
        <v>772</v>
      </c>
      <c r="U279" s="299">
        <f t="shared" si="24"/>
        <v>1</v>
      </c>
      <c r="V279" s="161"/>
    </row>
    <row r="280" spans="3:22">
      <c r="C280" s="358">
        <v>279</v>
      </c>
      <c r="D280" s="301" t="s">
        <v>515</v>
      </c>
      <c r="E280" s="139" t="s">
        <v>1512</v>
      </c>
      <c r="F280" s="66">
        <v>1</v>
      </c>
      <c r="G280" s="66" t="s">
        <v>773</v>
      </c>
      <c r="H280" s="74" t="s">
        <v>771</v>
      </c>
      <c r="I280" s="299">
        <f t="shared" si="20"/>
        <v>0</v>
      </c>
      <c r="K280" s="66">
        <f t="shared" si="21"/>
        <v>0</v>
      </c>
      <c r="L280" s="66">
        <f t="shared" si="22"/>
        <v>0</v>
      </c>
      <c r="M280" s="66"/>
      <c r="N280" s="307">
        <f t="shared" si="23"/>
        <v>0</v>
      </c>
      <c r="P280" s="284" t="s">
        <v>515</v>
      </c>
      <c r="Q280" s="139" t="s">
        <v>2396</v>
      </c>
      <c r="R280" s="66">
        <v>1</v>
      </c>
      <c r="S280" s="66" t="s">
        <v>773</v>
      </c>
      <c r="T280" s="74" t="s">
        <v>771</v>
      </c>
      <c r="U280" s="299">
        <f t="shared" si="24"/>
        <v>0</v>
      </c>
      <c r="V280" s="161"/>
    </row>
    <row r="281" spans="3:22">
      <c r="C281" s="358">
        <v>280</v>
      </c>
      <c r="D281" s="301" t="s">
        <v>724</v>
      </c>
      <c r="E281" s="139" t="s">
        <v>725</v>
      </c>
      <c r="F281" s="66">
        <v>1</v>
      </c>
      <c r="G281" s="66" t="s">
        <v>773</v>
      </c>
      <c r="H281" s="74" t="s">
        <v>771</v>
      </c>
      <c r="I281" s="299">
        <f t="shared" si="20"/>
        <v>0</v>
      </c>
      <c r="K281" s="66">
        <f t="shared" si="21"/>
        <v>0</v>
      </c>
      <c r="L281" s="66">
        <f t="shared" si="22"/>
        <v>0</v>
      </c>
      <c r="M281" s="66"/>
      <c r="N281" s="307">
        <f t="shared" si="23"/>
        <v>0</v>
      </c>
      <c r="P281" s="284" t="s">
        <v>724</v>
      </c>
      <c r="Q281" s="139" t="s">
        <v>1949</v>
      </c>
      <c r="R281" s="66">
        <v>1</v>
      </c>
      <c r="S281" s="66" t="s">
        <v>773</v>
      </c>
      <c r="T281" s="74" t="s">
        <v>771</v>
      </c>
      <c r="U281" s="299">
        <f t="shared" si="24"/>
        <v>0</v>
      </c>
      <c r="V281" s="161"/>
    </row>
    <row r="282" spans="3:22">
      <c r="C282" s="358">
        <v>281</v>
      </c>
      <c r="D282" s="309" t="s">
        <v>1177</v>
      </c>
      <c r="E282" t="s">
        <v>1189</v>
      </c>
      <c r="F282" s="66">
        <v>2</v>
      </c>
      <c r="G282" s="66" t="s">
        <v>773</v>
      </c>
      <c r="H282" s="74" t="s">
        <v>771</v>
      </c>
      <c r="I282" s="299">
        <f t="shared" si="20"/>
        <v>0</v>
      </c>
      <c r="K282" s="66">
        <f t="shared" si="21"/>
        <v>0</v>
      </c>
      <c r="L282" s="66">
        <f t="shared" si="22"/>
        <v>0</v>
      </c>
      <c r="M282" s="66"/>
      <c r="N282" s="307">
        <f t="shared" si="23"/>
        <v>0</v>
      </c>
      <c r="P282" s="294" t="s">
        <v>1177</v>
      </c>
      <c r="Q282" t="s">
        <v>1774</v>
      </c>
      <c r="R282" s="66">
        <v>2</v>
      </c>
      <c r="S282" s="66" t="s">
        <v>773</v>
      </c>
      <c r="T282" s="74" t="s">
        <v>771</v>
      </c>
      <c r="U282" s="299">
        <f t="shared" si="24"/>
        <v>0</v>
      </c>
      <c r="V282" s="161"/>
    </row>
    <row r="283" spans="3:22">
      <c r="C283" s="358">
        <v>282</v>
      </c>
      <c r="D283" s="301" t="s">
        <v>509</v>
      </c>
      <c r="E283" s="139" t="s">
        <v>510</v>
      </c>
      <c r="F283" s="66">
        <v>1</v>
      </c>
      <c r="G283" s="66" t="s">
        <v>773</v>
      </c>
      <c r="H283" s="74" t="s">
        <v>771</v>
      </c>
      <c r="I283" s="299">
        <f t="shared" si="20"/>
        <v>0</v>
      </c>
      <c r="K283" s="66">
        <f t="shared" si="21"/>
        <v>0</v>
      </c>
      <c r="L283" s="66">
        <f t="shared" si="22"/>
        <v>0</v>
      </c>
      <c r="M283" s="66"/>
      <c r="N283" s="307">
        <f t="shared" si="23"/>
        <v>0</v>
      </c>
      <c r="P283" s="284" t="s">
        <v>509</v>
      </c>
      <c r="Q283" s="139" t="s">
        <v>1837</v>
      </c>
      <c r="R283" s="66">
        <v>1</v>
      </c>
      <c r="S283" s="66" t="s">
        <v>773</v>
      </c>
      <c r="T283" s="74" t="s">
        <v>771</v>
      </c>
      <c r="U283" s="299">
        <f t="shared" si="24"/>
        <v>0</v>
      </c>
      <c r="V283" s="161"/>
    </row>
    <row r="284" spans="3:22">
      <c r="C284" s="358">
        <v>283</v>
      </c>
      <c r="D284" s="301" t="s">
        <v>309</v>
      </c>
      <c r="E284" s="139" t="s">
        <v>310</v>
      </c>
      <c r="F284" s="66">
        <v>2</v>
      </c>
      <c r="G284" s="66" t="s">
        <v>770</v>
      </c>
      <c r="H284" s="74" t="s">
        <v>771</v>
      </c>
      <c r="I284" s="299">
        <f t="shared" si="20"/>
        <v>1</v>
      </c>
      <c r="K284" s="66">
        <f t="shared" si="21"/>
        <v>0</v>
      </c>
      <c r="L284" s="66">
        <f t="shared" si="22"/>
        <v>0</v>
      </c>
      <c r="M284" s="66"/>
      <c r="N284" s="307">
        <f t="shared" si="23"/>
        <v>0</v>
      </c>
      <c r="P284" s="284" t="s">
        <v>309</v>
      </c>
      <c r="Q284" s="139" t="s">
        <v>1734</v>
      </c>
      <c r="R284" s="66">
        <v>2</v>
      </c>
      <c r="S284" s="66" t="s">
        <v>770</v>
      </c>
      <c r="T284" s="74" t="s">
        <v>771</v>
      </c>
      <c r="U284" s="299">
        <f t="shared" si="24"/>
        <v>1</v>
      </c>
      <c r="V284" s="161"/>
    </row>
    <row r="285" spans="3:22">
      <c r="C285" s="358">
        <v>284</v>
      </c>
      <c r="D285" s="301" t="s">
        <v>361</v>
      </c>
      <c r="E285" s="139" t="s">
        <v>362</v>
      </c>
      <c r="F285" s="66">
        <v>1</v>
      </c>
      <c r="G285" s="66" t="s">
        <v>773</v>
      </c>
      <c r="H285" s="74" t="s">
        <v>771</v>
      </c>
      <c r="I285" s="299">
        <f t="shared" si="20"/>
        <v>0</v>
      </c>
      <c r="K285" s="66">
        <f t="shared" si="21"/>
        <v>0</v>
      </c>
      <c r="L285" s="66">
        <f t="shared" si="22"/>
        <v>0</v>
      </c>
      <c r="M285" s="66"/>
      <c r="N285" s="307">
        <f t="shared" si="23"/>
        <v>0</v>
      </c>
      <c r="P285" s="284" t="s">
        <v>361</v>
      </c>
      <c r="Q285" s="139" t="s">
        <v>1761</v>
      </c>
      <c r="R285" s="66">
        <v>1</v>
      </c>
      <c r="S285" s="66" t="s">
        <v>773</v>
      </c>
      <c r="T285" s="74" t="s">
        <v>771</v>
      </c>
      <c r="U285" s="299">
        <f t="shared" si="24"/>
        <v>0</v>
      </c>
      <c r="V285" s="161"/>
    </row>
    <row r="286" spans="3:22">
      <c r="C286" s="358">
        <v>285</v>
      </c>
      <c r="D286" s="301" t="s">
        <v>689</v>
      </c>
      <c r="E286" s="139" t="s">
        <v>690</v>
      </c>
      <c r="F286" s="66">
        <v>2</v>
      </c>
      <c r="G286" s="66" t="s">
        <v>770</v>
      </c>
      <c r="H286" s="74" t="s">
        <v>771</v>
      </c>
      <c r="I286" s="299">
        <f t="shared" si="20"/>
        <v>1</v>
      </c>
      <c r="K286" s="66">
        <f t="shared" si="21"/>
        <v>0</v>
      </c>
      <c r="L286" s="66">
        <f t="shared" si="22"/>
        <v>0</v>
      </c>
      <c r="M286" s="66"/>
      <c r="N286" s="307">
        <f t="shared" si="23"/>
        <v>0</v>
      </c>
      <c r="P286" s="284" t="s">
        <v>689</v>
      </c>
      <c r="Q286" s="139" t="s">
        <v>1931</v>
      </c>
      <c r="R286" s="66">
        <v>2</v>
      </c>
      <c r="S286" s="66" t="s">
        <v>770</v>
      </c>
      <c r="T286" s="74" t="s">
        <v>771</v>
      </c>
      <c r="U286" s="299">
        <f t="shared" si="24"/>
        <v>1</v>
      </c>
      <c r="V286" s="161"/>
    </row>
    <row r="287" spans="3:22">
      <c r="C287" s="358">
        <v>286</v>
      </c>
      <c r="D287" s="301" t="s">
        <v>654</v>
      </c>
      <c r="E287" s="139" t="s">
        <v>655</v>
      </c>
      <c r="F287" s="66">
        <v>2</v>
      </c>
      <c r="G287" s="66" t="s">
        <v>773</v>
      </c>
      <c r="H287" s="74" t="s">
        <v>771</v>
      </c>
      <c r="I287" s="299">
        <f t="shared" si="20"/>
        <v>0</v>
      </c>
      <c r="K287" s="66">
        <f t="shared" si="21"/>
        <v>0</v>
      </c>
      <c r="L287" s="66">
        <f t="shared" si="22"/>
        <v>0</v>
      </c>
      <c r="M287" s="66"/>
      <c r="N287" s="307">
        <f t="shared" si="23"/>
        <v>0</v>
      </c>
      <c r="P287" s="284" t="s">
        <v>654</v>
      </c>
      <c r="Q287" s="139" t="s">
        <v>1911</v>
      </c>
      <c r="R287" s="66">
        <v>2</v>
      </c>
      <c r="S287" s="66" t="s">
        <v>773</v>
      </c>
      <c r="T287" s="74" t="s">
        <v>771</v>
      </c>
      <c r="U287" s="299">
        <f t="shared" si="24"/>
        <v>0</v>
      </c>
      <c r="V287" s="161"/>
    </row>
    <row r="288" spans="3:22">
      <c r="C288" s="358">
        <v>287</v>
      </c>
      <c r="D288" s="301" t="s">
        <v>388</v>
      </c>
      <c r="E288" s="139" t="s">
        <v>389</v>
      </c>
      <c r="F288" s="66">
        <v>2</v>
      </c>
      <c r="G288" s="289" t="s">
        <v>770</v>
      </c>
      <c r="H288" s="74" t="s">
        <v>771</v>
      </c>
      <c r="I288" s="299">
        <f t="shared" si="20"/>
        <v>1</v>
      </c>
      <c r="K288" s="66">
        <f t="shared" si="21"/>
        <v>0</v>
      </c>
      <c r="L288" s="66">
        <f t="shared" si="22"/>
        <v>0</v>
      </c>
      <c r="M288" s="66"/>
      <c r="N288" s="307">
        <f t="shared" si="23"/>
        <v>0</v>
      </c>
      <c r="P288" s="284" t="s">
        <v>388</v>
      </c>
      <c r="Q288" s="139" t="s">
        <v>1777</v>
      </c>
      <c r="R288" s="66">
        <v>2</v>
      </c>
      <c r="S288" s="289" t="s">
        <v>770</v>
      </c>
      <c r="T288" s="74" t="s">
        <v>771</v>
      </c>
      <c r="U288" s="299">
        <f t="shared" si="24"/>
        <v>1</v>
      </c>
      <c r="V288" s="161"/>
    </row>
    <row r="289" spans="3:22">
      <c r="C289" s="358">
        <v>288</v>
      </c>
      <c r="D289" s="301" t="s">
        <v>430</v>
      </c>
      <c r="E289" s="139" t="s">
        <v>431</v>
      </c>
      <c r="F289" s="66">
        <v>2</v>
      </c>
      <c r="G289" s="66" t="s">
        <v>773</v>
      </c>
      <c r="H289" s="74" t="s">
        <v>771</v>
      </c>
      <c r="I289" s="299">
        <f t="shared" si="20"/>
        <v>0</v>
      </c>
      <c r="K289" s="66">
        <f t="shared" si="21"/>
        <v>0</v>
      </c>
      <c r="L289" s="66">
        <f t="shared" si="22"/>
        <v>0</v>
      </c>
      <c r="M289" s="66"/>
      <c r="N289" s="307">
        <f t="shared" si="23"/>
        <v>0</v>
      </c>
      <c r="P289" s="284" t="s">
        <v>430</v>
      </c>
      <c r="Q289" s="139" t="s">
        <v>1798</v>
      </c>
      <c r="R289" s="66">
        <v>2</v>
      </c>
      <c r="S289" s="66" t="s">
        <v>773</v>
      </c>
      <c r="T289" s="74" t="s">
        <v>771</v>
      </c>
      <c r="U289" s="299">
        <f t="shared" si="24"/>
        <v>0</v>
      </c>
      <c r="V289" s="161"/>
    </row>
    <row r="290" spans="3:22">
      <c r="C290" s="358">
        <v>289</v>
      </c>
      <c r="D290" s="301" t="s">
        <v>484</v>
      </c>
      <c r="E290" s="139" t="s">
        <v>485</v>
      </c>
      <c r="F290" s="66">
        <v>2</v>
      </c>
      <c r="G290" s="66" t="s">
        <v>773</v>
      </c>
      <c r="H290" s="74" t="s">
        <v>771</v>
      </c>
      <c r="I290" s="299">
        <f t="shared" si="20"/>
        <v>0</v>
      </c>
      <c r="K290" s="66">
        <f t="shared" si="21"/>
        <v>0</v>
      </c>
      <c r="L290" s="66">
        <f t="shared" si="22"/>
        <v>0</v>
      </c>
      <c r="M290" s="66"/>
      <c r="N290" s="307">
        <f t="shared" si="23"/>
        <v>0</v>
      </c>
      <c r="P290" s="284" t="s">
        <v>484</v>
      </c>
      <c r="Q290" s="139" t="s">
        <v>1824</v>
      </c>
      <c r="R290" s="66">
        <v>2</v>
      </c>
      <c r="S290" s="66" t="s">
        <v>773</v>
      </c>
      <c r="T290" s="74" t="s">
        <v>771</v>
      </c>
      <c r="U290" s="299">
        <f t="shared" si="24"/>
        <v>0</v>
      </c>
      <c r="V290" s="161"/>
    </row>
    <row r="291" spans="3:22">
      <c r="C291" s="358">
        <v>290</v>
      </c>
      <c r="D291" s="301" t="s">
        <v>726</v>
      </c>
      <c r="E291" s="139" t="s">
        <v>727</v>
      </c>
      <c r="F291" s="66">
        <v>1</v>
      </c>
      <c r="G291" s="66" t="s">
        <v>773</v>
      </c>
      <c r="H291" s="74" t="s">
        <v>771</v>
      </c>
      <c r="I291" s="299">
        <f t="shared" si="20"/>
        <v>0</v>
      </c>
      <c r="K291" s="66">
        <f t="shared" si="21"/>
        <v>0</v>
      </c>
      <c r="L291" s="66">
        <f t="shared" si="22"/>
        <v>0</v>
      </c>
      <c r="M291" s="66"/>
      <c r="N291" s="307">
        <f t="shared" si="23"/>
        <v>0</v>
      </c>
      <c r="P291" s="284" t="s">
        <v>726</v>
      </c>
      <c r="Q291" s="139" t="s">
        <v>1950</v>
      </c>
      <c r="R291" s="66">
        <v>1</v>
      </c>
      <c r="S291" s="66" t="s">
        <v>773</v>
      </c>
      <c r="T291" s="74" t="s">
        <v>771</v>
      </c>
      <c r="U291" s="299">
        <f t="shared" si="24"/>
        <v>0</v>
      </c>
      <c r="V291" s="161"/>
    </row>
    <row r="292" spans="3:22">
      <c r="C292" s="358">
        <v>291</v>
      </c>
      <c r="D292" s="301" t="s">
        <v>664</v>
      </c>
      <c r="E292" s="139" t="s">
        <v>665</v>
      </c>
      <c r="F292" s="66">
        <v>2</v>
      </c>
      <c r="G292" s="66" t="s">
        <v>770</v>
      </c>
      <c r="H292" s="74" t="s">
        <v>771</v>
      </c>
      <c r="I292" s="299">
        <f t="shared" si="20"/>
        <v>1</v>
      </c>
      <c r="K292" s="66">
        <f t="shared" si="21"/>
        <v>0</v>
      </c>
      <c r="L292" s="66">
        <f t="shared" si="22"/>
        <v>0</v>
      </c>
      <c r="M292" s="66"/>
      <c r="N292" s="307">
        <f t="shared" si="23"/>
        <v>0</v>
      </c>
      <c r="P292" s="284" t="s">
        <v>664</v>
      </c>
      <c r="Q292" s="139" t="s">
        <v>1917</v>
      </c>
      <c r="R292" s="66">
        <v>2</v>
      </c>
      <c r="S292" s="66" t="s">
        <v>770</v>
      </c>
      <c r="T292" s="74" t="s">
        <v>771</v>
      </c>
      <c r="U292" s="299">
        <f t="shared" si="24"/>
        <v>1</v>
      </c>
      <c r="V292" s="161"/>
    </row>
    <row r="293" spans="3:22">
      <c r="C293" s="358">
        <v>292</v>
      </c>
      <c r="D293" s="301" t="s">
        <v>235</v>
      </c>
      <c r="E293" s="298" t="s">
        <v>236</v>
      </c>
      <c r="F293" s="66">
        <v>2</v>
      </c>
      <c r="G293" s="66" t="s">
        <v>770</v>
      </c>
      <c r="H293" s="74" t="s">
        <v>771</v>
      </c>
      <c r="I293" s="299">
        <f t="shared" si="20"/>
        <v>1</v>
      </c>
      <c r="K293" s="66">
        <f t="shared" si="21"/>
        <v>0</v>
      </c>
      <c r="L293" s="66">
        <f t="shared" si="22"/>
        <v>0</v>
      </c>
      <c r="M293" s="66"/>
      <c r="N293" s="307">
        <f t="shared" si="23"/>
        <v>0</v>
      </c>
      <c r="P293" s="284" t="s">
        <v>235</v>
      </c>
      <c r="Q293" s="139" t="s">
        <v>1697</v>
      </c>
      <c r="R293" s="66">
        <v>2</v>
      </c>
      <c r="S293" s="66" t="s">
        <v>770</v>
      </c>
      <c r="T293" s="74" t="s">
        <v>771</v>
      </c>
      <c r="U293" s="299">
        <f t="shared" si="24"/>
        <v>1</v>
      </c>
      <c r="V293" s="161"/>
    </row>
    <row r="294" spans="3:22">
      <c r="C294" s="358">
        <v>293</v>
      </c>
      <c r="D294" s="301" t="s">
        <v>402</v>
      </c>
      <c r="E294" s="139" t="s">
        <v>403</v>
      </c>
      <c r="F294" s="66">
        <v>2</v>
      </c>
      <c r="G294" s="66" t="s">
        <v>770</v>
      </c>
      <c r="H294" s="74" t="s">
        <v>771</v>
      </c>
      <c r="I294" s="299">
        <f t="shared" si="20"/>
        <v>1</v>
      </c>
      <c r="K294" s="66">
        <f t="shared" si="21"/>
        <v>0</v>
      </c>
      <c r="L294" s="66">
        <f t="shared" si="22"/>
        <v>0</v>
      </c>
      <c r="M294" s="66"/>
      <c r="N294" s="307">
        <f t="shared" si="23"/>
        <v>0</v>
      </c>
      <c r="P294" s="284" t="s">
        <v>402</v>
      </c>
      <c r="Q294" s="139" t="s">
        <v>1784</v>
      </c>
      <c r="R294" s="66">
        <v>2</v>
      </c>
      <c r="S294" s="66" t="s">
        <v>770</v>
      </c>
      <c r="T294" s="74" t="s">
        <v>771</v>
      </c>
      <c r="U294" s="299">
        <f t="shared" si="24"/>
        <v>1</v>
      </c>
      <c r="V294" s="161"/>
    </row>
    <row r="295" spans="3:22">
      <c r="C295" s="358">
        <v>294</v>
      </c>
      <c r="D295" s="301" t="s">
        <v>356</v>
      </c>
      <c r="E295" s="139" t="s">
        <v>357</v>
      </c>
      <c r="F295" s="66">
        <v>1</v>
      </c>
      <c r="G295" s="66" t="s">
        <v>773</v>
      </c>
      <c r="H295" s="74" t="s">
        <v>771</v>
      </c>
      <c r="I295" s="299">
        <f t="shared" si="20"/>
        <v>0</v>
      </c>
      <c r="K295" s="66">
        <f t="shared" si="21"/>
        <v>0</v>
      </c>
      <c r="L295" s="66">
        <f t="shared" si="22"/>
        <v>0</v>
      </c>
      <c r="M295" s="66"/>
      <c r="N295" s="307">
        <f t="shared" si="23"/>
        <v>0</v>
      </c>
      <c r="P295" s="284" t="s">
        <v>356</v>
      </c>
      <c r="Q295" s="139" t="s">
        <v>1758</v>
      </c>
      <c r="R295" s="66">
        <v>1</v>
      </c>
      <c r="S295" s="66" t="s">
        <v>773</v>
      </c>
      <c r="T295" s="74" t="s">
        <v>771</v>
      </c>
      <c r="U295" s="299">
        <f t="shared" si="24"/>
        <v>0</v>
      </c>
      <c r="V295" s="161"/>
    </row>
    <row r="296" spans="3:22">
      <c r="C296" s="358">
        <v>295</v>
      </c>
      <c r="D296" s="301" t="s">
        <v>644</v>
      </c>
      <c r="E296" s="139" t="s">
        <v>645</v>
      </c>
      <c r="F296" s="66">
        <v>1</v>
      </c>
      <c r="G296" s="66" t="s">
        <v>773</v>
      </c>
      <c r="H296" s="74" t="s">
        <v>771</v>
      </c>
      <c r="I296" s="299">
        <f t="shared" si="20"/>
        <v>0</v>
      </c>
      <c r="K296" s="66">
        <f t="shared" si="21"/>
        <v>0</v>
      </c>
      <c r="L296" s="66">
        <f t="shared" si="22"/>
        <v>0</v>
      </c>
      <c r="M296" s="66"/>
      <c r="N296" s="307">
        <f t="shared" si="23"/>
        <v>0</v>
      </c>
      <c r="P296" s="284" t="s">
        <v>644</v>
      </c>
      <c r="Q296" s="139" t="s">
        <v>1906</v>
      </c>
      <c r="R296" s="66">
        <v>1</v>
      </c>
      <c r="S296" s="66" t="s">
        <v>773</v>
      </c>
      <c r="T296" s="74" t="s">
        <v>771</v>
      </c>
      <c r="U296" s="299">
        <f t="shared" si="24"/>
        <v>0</v>
      </c>
      <c r="V296" s="161"/>
    </row>
    <row r="297" spans="3:22">
      <c r="C297" s="358">
        <v>296</v>
      </c>
      <c r="D297" s="301" t="s">
        <v>711</v>
      </c>
      <c r="E297" s="139" t="s">
        <v>712</v>
      </c>
      <c r="F297" s="66">
        <v>2</v>
      </c>
      <c r="G297" s="66" t="s">
        <v>770</v>
      </c>
      <c r="H297" s="74" t="s">
        <v>772</v>
      </c>
      <c r="I297" s="299">
        <f t="shared" si="20"/>
        <v>1</v>
      </c>
      <c r="K297" s="66">
        <f t="shared" si="21"/>
        <v>0</v>
      </c>
      <c r="L297" s="66">
        <f t="shared" si="22"/>
        <v>0</v>
      </c>
      <c r="M297" s="66"/>
      <c r="N297" s="307">
        <f t="shared" si="23"/>
        <v>0</v>
      </c>
      <c r="P297" s="284" t="s">
        <v>711</v>
      </c>
      <c r="Q297" s="139" t="s">
        <v>1942</v>
      </c>
      <c r="R297" s="66">
        <v>2</v>
      </c>
      <c r="S297" s="66" t="s">
        <v>770</v>
      </c>
      <c r="T297" s="74" t="s">
        <v>772</v>
      </c>
      <c r="U297" s="299">
        <f t="shared" si="24"/>
        <v>1</v>
      </c>
      <c r="V297" s="161"/>
    </row>
    <row r="298" spans="3:22">
      <c r="C298" s="358">
        <v>297</v>
      </c>
      <c r="D298" s="301" t="s">
        <v>513</v>
      </c>
      <c r="E298" s="139" t="s">
        <v>514</v>
      </c>
      <c r="F298" s="66">
        <v>1</v>
      </c>
      <c r="G298" s="66" t="s">
        <v>773</v>
      </c>
      <c r="H298" s="74" t="s">
        <v>771</v>
      </c>
      <c r="I298" s="299">
        <f t="shared" si="20"/>
        <v>0</v>
      </c>
      <c r="K298" s="66">
        <f t="shared" si="21"/>
        <v>0</v>
      </c>
      <c r="L298" s="66">
        <f t="shared" si="22"/>
        <v>0</v>
      </c>
      <c r="M298" s="66"/>
      <c r="N298" s="307">
        <f t="shared" si="23"/>
        <v>0</v>
      </c>
      <c r="P298" s="284" t="s">
        <v>513</v>
      </c>
      <c r="Q298" s="139" t="s">
        <v>1839</v>
      </c>
      <c r="R298" s="66">
        <v>1</v>
      </c>
      <c r="S298" s="66" t="s">
        <v>773</v>
      </c>
      <c r="T298" s="74" t="s">
        <v>771</v>
      </c>
      <c r="U298" s="299">
        <f t="shared" si="24"/>
        <v>0</v>
      </c>
      <c r="V298" s="161"/>
    </row>
    <row r="299" spans="3:22">
      <c r="C299" s="358">
        <v>298</v>
      </c>
      <c r="D299" s="301" t="s">
        <v>624</v>
      </c>
      <c r="E299" s="139" t="s">
        <v>625</v>
      </c>
      <c r="F299" s="66">
        <v>2</v>
      </c>
      <c r="G299" s="66" t="s">
        <v>773</v>
      </c>
      <c r="H299" s="74" t="s">
        <v>772</v>
      </c>
      <c r="I299" s="299">
        <f t="shared" si="20"/>
        <v>0</v>
      </c>
      <c r="K299" s="66">
        <f t="shared" si="21"/>
        <v>0</v>
      </c>
      <c r="L299" s="66">
        <f t="shared" si="22"/>
        <v>0</v>
      </c>
      <c r="M299" s="66"/>
      <c r="N299" s="307">
        <f t="shared" si="23"/>
        <v>0</v>
      </c>
      <c r="P299" s="284" t="s">
        <v>624</v>
      </c>
      <c r="Q299" s="139" t="s">
        <v>1895</v>
      </c>
      <c r="R299" s="66">
        <v>2</v>
      </c>
      <c r="S299" s="66" t="s">
        <v>773</v>
      </c>
      <c r="T299" s="74" t="s">
        <v>772</v>
      </c>
      <c r="U299" s="299">
        <f t="shared" si="24"/>
        <v>0</v>
      </c>
      <c r="V299" s="161"/>
    </row>
    <row r="300" spans="3:22">
      <c r="C300" s="358">
        <v>299</v>
      </c>
      <c r="D300" s="301" t="s">
        <v>213</v>
      </c>
      <c r="E300" s="139" t="s">
        <v>214</v>
      </c>
      <c r="F300" s="66">
        <v>1</v>
      </c>
      <c r="G300" s="66" t="s">
        <v>773</v>
      </c>
      <c r="H300" s="74" t="s">
        <v>771</v>
      </c>
      <c r="I300" s="299">
        <f t="shared" si="20"/>
        <v>0</v>
      </c>
      <c r="K300" s="66">
        <f t="shared" si="21"/>
        <v>0</v>
      </c>
      <c r="L300" s="66">
        <f t="shared" si="22"/>
        <v>0</v>
      </c>
      <c r="M300" s="66"/>
      <c r="N300" s="307">
        <f t="shared" si="23"/>
        <v>0</v>
      </c>
      <c r="P300" s="284" t="s">
        <v>213</v>
      </c>
      <c r="Q300" s="139" t="s">
        <v>1685</v>
      </c>
      <c r="R300" s="66">
        <v>1</v>
      </c>
      <c r="S300" s="66" t="s">
        <v>773</v>
      </c>
      <c r="T300" s="74" t="s">
        <v>771</v>
      </c>
      <c r="U300" s="299">
        <f t="shared" si="24"/>
        <v>0</v>
      </c>
      <c r="V300" s="161"/>
    </row>
    <row r="301" spans="3:22">
      <c r="C301" s="358">
        <v>300</v>
      </c>
      <c r="D301" s="301" t="s">
        <v>348</v>
      </c>
      <c r="E301" s="139" t="s">
        <v>349</v>
      </c>
      <c r="F301" s="66">
        <v>2</v>
      </c>
      <c r="G301" s="66" t="s">
        <v>773</v>
      </c>
      <c r="H301" s="74" t="s">
        <v>771</v>
      </c>
      <c r="I301" s="299">
        <f t="shared" si="20"/>
        <v>0</v>
      </c>
      <c r="K301" s="66">
        <f t="shared" si="21"/>
        <v>0</v>
      </c>
      <c r="L301" s="66">
        <f t="shared" si="22"/>
        <v>0</v>
      </c>
      <c r="M301" s="66"/>
      <c r="N301" s="307">
        <f t="shared" si="23"/>
        <v>0</v>
      </c>
      <c r="P301" s="284" t="s">
        <v>348</v>
      </c>
      <c r="Q301" s="139" t="s">
        <v>1754</v>
      </c>
      <c r="R301" s="66">
        <v>2</v>
      </c>
      <c r="S301" s="66" t="s">
        <v>773</v>
      </c>
      <c r="T301" s="74" t="s">
        <v>771</v>
      </c>
      <c r="U301" s="299">
        <f t="shared" si="24"/>
        <v>0</v>
      </c>
      <c r="V301" s="161"/>
    </row>
    <row r="302" spans="3:22">
      <c r="C302" s="358">
        <v>301</v>
      </c>
      <c r="D302" s="312" t="s">
        <v>1503</v>
      </c>
      <c r="E302" t="s">
        <v>1502</v>
      </c>
      <c r="F302" s="66">
        <v>2</v>
      </c>
      <c r="G302" s="66" t="s">
        <v>773</v>
      </c>
      <c r="H302" s="74" t="s">
        <v>771</v>
      </c>
      <c r="I302" s="299">
        <f t="shared" si="20"/>
        <v>0</v>
      </c>
      <c r="K302" s="66">
        <f t="shared" si="21"/>
        <v>0</v>
      </c>
      <c r="L302" s="66">
        <f t="shared" si="22"/>
        <v>0</v>
      </c>
      <c r="M302" s="66"/>
      <c r="N302" s="307">
        <f t="shared" si="23"/>
        <v>0</v>
      </c>
      <c r="P302" s="297" t="s">
        <v>1503</v>
      </c>
      <c r="Q302" t="s">
        <v>1912</v>
      </c>
      <c r="R302" s="66">
        <v>2</v>
      </c>
      <c r="S302" s="66" t="s">
        <v>773</v>
      </c>
      <c r="T302" s="74" t="s">
        <v>771</v>
      </c>
      <c r="U302" s="299">
        <f t="shared" si="24"/>
        <v>0</v>
      </c>
      <c r="V302" s="161"/>
    </row>
    <row r="303" spans="3:22">
      <c r="C303" s="358">
        <v>302</v>
      </c>
      <c r="D303" s="301" t="s">
        <v>656</v>
      </c>
      <c r="E303" s="139" t="s">
        <v>657</v>
      </c>
      <c r="F303" s="66">
        <v>2</v>
      </c>
      <c r="G303" s="66" t="s">
        <v>770</v>
      </c>
      <c r="H303" s="74" t="s">
        <v>771</v>
      </c>
      <c r="I303" s="299">
        <f t="shared" si="20"/>
        <v>1</v>
      </c>
      <c r="K303" s="66">
        <f t="shared" si="21"/>
        <v>0</v>
      </c>
      <c r="L303" s="66">
        <f t="shared" si="22"/>
        <v>0</v>
      </c>
      <c r="M303" s="66"/>
      <c r="N303" s="307">
        <f t="shared" si="23"/>
        <v>0</v>
      </c>
      <c r="P303" s="284" t="s">
        <v>656</v>
      </c>
      <c r="Q303" s="139" t="s">
        <v>1913</v>
      </c>
      <c r="R303" s="66">
        <v>2</v>
      </c>
      <c r="S303" s="66" t="s">
        <v>770</v>
      </c>
      <c r="T303" s="74" t="s">
        <v>771</v>
      </c>
      <c r="U303" s="299">
        <f t="shared" si="24"/>
        <v>1</v>
      </c>
      <c r="V303" s="161"/>
    </row>
    <row r="304" spans="3:22">
      <c r="C304" s="358">
        <v>303</v>
      </c>
      <c r="D304" s="301" t="s">
        <v>277</v>
      </c>
      <c r="E304" s="139" t="s">
        <v>278</v>
      </c>
      <c r="F304" s="289">
        <v>1</v>
      </c>
      <c r="G304" s="66" t="s">
        <v>773</v>
      </c>
      <c r="H304" s="74" t="s">
        <v>771</v>
      </c>
      <c r="I304" s="299">
        <f t="shared" si="20"/>
        <v>0</v>
      </c>
      <c r="K304" s="66">
        <f t="shared" si="21"/>
        <v>0</v>
      </c>
      <c r="L304" s="66">
        <f t="shared" si="22"/>
        <v>0</v>
      </c>
      <c r="M304" s="66"/>
      <c r="N304" s="307">
        <f t="shared" si="23"/>
        <v>0</v>
      </c>
      <c r="P304" s="284" t="s">
        <v>277</v>
      </c>
      <c r="Q304" s="139" t="s">
        <v>1718</v>
      </c>
      <c r="R304" s="289">
        <v>1</v>
      </c>
      <c r="S304" s="66" t="s">
        <v>773</v>
      </c>
      <c r="T304" s="74" t="s">
        <v>771</v>
      </c>
      <c r="U304" s="299">
        <f t="shared" si="24"/>
        <v>0</v>
      </c>
      <c r="V304" s="161"/>
    </row>
    <row r="305" spans="3:22">
      <c r="C305" s="358">
        <v>304</v>
      </c>
      <c r="D305" s="301" t="s">
        <v>667</v>
      </c>
      <c r="E305" s="139" t="s">
        <v>668</v>
      </c>
      <c r="F305" s="66">
        <v>2</v>
      </c>
      <c r="G305" s="66" t="s">
        <v>770</v>
      </c>
      <c r="H305" s="74" t="s">
        <v>771</v>
      </c>
      <c r="I305" s="299">
        <f t="shared" si="20"/>
        <v>1</v>
      </c>
      <c r="K305" s="66">
        <f t="shared" si="21"/>
        <v>0</v>
      </c>
      <c r="L305" s="66">
        <f t="shared" si="22"/>
        <v>0</v>
      </c>
      <c r="M305" s="66"/>
      <c r="N305" s="307">
        <f t="shared" si="23"/>
        <v>0</v>
      </c>
      <c r="P305" s="284" t="s">
        <v>667</v>
      </c>
      <c r="Q305" s="139" t="s">
        <v>1919</v>
      </c>
      <c r="R305" s="66">
        <v>2</v>
      </c>
      <c r="S305" s="66" t="s">
        <v>770</v>
      </c>
      <c r="T305" s="74" t="s">
        <v>771</v>
      </c>
      <c r="U305" s="299">
        <f t="shared" si="24"/>
        <v>1</v>
      </c>
      <c r="V305" s="161"/>
    </row>
    <row r="306" spans="3:22">
      <c r="C306" s="358">
        <v>305</v>
      </c>
      <c r="D306" s="301" t="s">
        <v>660</v>
      </c>
      <c r="E306" s="139" t="s">
        <v>661</v>
      </c>
      <c r="F306" s="66">
        <v>1</v>
      </c>
      <c r="G306" s="66" t="s">
        <v>773</v>
      </c>
      <c r="H306" s="74" t="s">
        <v>771</v>
      </c>
      <c r="I306" s="299">
        <f t="shared" si="20"/>
        <v>0</v>
      </c>
      <c r="K306" s="66">
        <f t="shared" si="21"/>
        <v>0</v>
      </c>
      <c r="L306" s="66">
        <f t="shared" si="22"/>
        <v>0</v>
      </c>
      <c r="M306" s="66"/>
      <c r="N306" s="307">
        <f t="shared" si="23"/>
        <v>0</v>
      </c>
      <c r="P306" s="284" t="s">
        <v>660</v>
      </c>
      <c r="Q306" s="139" t="s">
        <v>1915</v>
      </c>
      <c r="R306" s="66">
        <v>1</v>
      </c>
      <c r="S306" s="66" t="s">
        <v>773</v>
      </c>
      <c r="T306" s="74" t="s">
        <v>771</v>
      </c>
      <c r="U306" s="299">
        <f t="shared" si="24"/>
        <v>0</v>
      </c>
      <c r="V306" s="161"/>
    </row>
    <row r="307" spans="3:22">
      <c r="C307" s="358">
        <v>306</v>
      </c>
      <c r="D307" s="301" t="s">
        <v>734</v>
      </c>
      <c r="E307" s="139" t="s">
        <v>735</v>
      </c>
      <c r="F307" s="66">
        <v>1</v>
      </c>
      <c r="G307" s="66" t="s">
        <v>773</v>
      </c>
      <c r="H307" s="74" t="s">
        <v>771</v>
      </c>
      <c r="I307" s="299">
        <f t="shared" si="20"/>
        <v>0</v>
      </c>
      <c r="K307" s="66">
        <f t="shared" si="21"/>
        <v>0</v>
      </c>
      <c r="L307" s="66">
        <f t="shared" si="22"/>
        <v>0</v>
      </c>
      <c r="M307" s="66"/>
      <c r="N307" s="307">
        <f t="shared" si="23"/>
        <v>0</v>
      </c>
      <c r="P307" s="284" t="s">
        <v>734</v>
      </c>
      <c r="Q307" s="139" t="s">
        <v>1954</v>
      </c>
      <c r="R307" s="66">
        <v>1</v>
      </c>
      <c r="S307" s="66" t="s">
        <v>773</v>
      </c>
      <c r="T307" s="74" t="s">
        <v>771</v>
      </c>
      <c r="U307" s="299">
        <f t="shared" si="24"/>
        <v>0</v>
      </c>
      <c r="V307" s="161"/>
    </row>
    <row r="308" spans="3:22">
      <c r="C308" s="358">
        <v>307</v>
      </c>
      <c r="D308" s="301" t="s">
        <v>281</v>
      </c>
      <c r="E308" s="139" t="s">
        <v>282</v>
      </c>
      <c r="F308" s="66">
        <v>2</v>
      </c>
      <c r="G308" s="66" t="s">
        <v>773</v>
      </c>
      <c r="H308" s="74" t="s">
        <v>771</v>
      </c>
      <c r="I308" s="299">
        <f t="shared" si="20"/>
        <v>0</v>
      </c>
      <c r="K308" s="66">
        <f t="shared" si="21"/>
        <v>0</v>
      </c>
      <c r="L308" s="66">
        <f t="shared" si="22"/>
        <v>0</v>
      </c>
      <c r="M308" s="66"/>
      <c r="N308" s="307">
        <f t="shared" si="23"/>
        <v>0</v>
      </c>
      <c r="P308" s="284" t="s">
        <v>281</v>
      </c>
      <c r="Q308" s="139" t="s">
        <v>1720</v>
      </c>
      <c r="R308" s="66">
        <v>2</v>
      </c>
      <c r="S308" s="66" t="s">
        <v>773</v>
      </c>
      <c r="T308" s="74" t="s">
        <v>771</v>
      </c>
      <c r="U308" s="299">
        <f t="shared" si="24"/>
        <v>0</v>
      </c>
      <c r="V308" s="161"/>
    </row>
    <row r="309" spans="3:22">
      <c r="C309" s="358">
        <v>308</v>
      </c>
      <c r="D309" s="301" t="s">
        <v>220</v>
      </c>
      <c r="E309" s="139" t="s">
        <v>221</v>
      </c>
      <c r="F309" s="66">
        <v>1</v>
      </c>
      <c r="G309" s="66" t="s">
        <v>773</v>
      </c>
      <c r="H309" s="74" t="s">
        <v>771</v>
      </c>
      <c r="I309" s="299">
        <f t="shared" si="20"/>
        <v>0</v>
      </c>
      <c r="K309" s="66">
        <f t="shared" si="21"/>
        <v>0</v>
      </c>
      <c r="L309" s="66">
        <f t="shared" si="22"/>
        <v>0</v>
      </c>
      <c r="M309" s="66"/>
      <c r="N309" s="307">
        <f t="shared" si="23"/>
        <v>0</v>
      </c>
      <c r="P309" s="284" t="s">
        <v>220</v>
      </c>
      <c r="Q309" s="139" t="s">
        <v>1689</v>
      </c>
      <c r="R309" s="66">
        <v>1</v>
      </c>
      <c r="S309" s="66" t="s">
        <v>773</v>
      </c>
      <c r="T309" s="74" t="s">
        <v>771</v>
      </c>
      <c r="U309" s="299">
        <f t="shared" si="24"/>
        <v>0</v>
      </c>
      <c r="V309" s="161"/>
    </row>
    <row r="310" spans="3:22">
      <c r="C310" s="358">
        <v>309</v>
      </c>
      <c r="D310" s="301" t="s">
        <v>163</v>
      </c>
      <c r="E310" s="139" t="s">
        <v>164</v>
      </c>
      <c r="F310" s="66">
        <v>2</v>
      </c>
      <c r="G310" s="66" t="s">
        <v>770</v>
      </c>
      <c r="H310" s="74" t="s">
        <v>771</v>
      </c>
      <c r="I310" s="299">
        <f t="shared" si="20"/>
        <v>1</v>
      </c>
      <c r="K310" s="66">
        <f t="shared" si="21"/>
        <v>0</v>
      </c>
      <c r="L310" s="66">
        <f t="shared" si="22"/>
        <v>0</v>
      </c>
      <c r="M310" s="66"/>
      <c r="N310" s="307">
        <f t="shared" si="23"/>
        <v>0</v>
      </c>
      <c r="P310" s="284" t="s">
        <v>163</v>
      </c>
      <c r="Q310" s="139" t="s">
        <v>1659</v>
      </c>
      <c r="R310" s="66">
        <v>2</v>
      </c>
      <c r="S310" s="66" t="s">
        <v>770</v>
      </c>
      <c r="T310" s="74" t="s">
        <v>771</v>
      </c>
      <c r="U310" s="299">
        <f t="shared" si="24"/>
        <v>1</v>
      </c>
      <c r="V310" s="161"/>
    </row>
    <row r="311" spans="3:22">
      <c r="C311" s="358">
        <v>310</v>
      </c>
      <c r="D311" s="301" t="s">
        <v>255</v>
      </c>
      <c r="E311" s="139" t="s">
        <v>256</v>
      </c>
      <c r="F311" s="66">
        <v>2</v>
      </c>
      <c r="G311" s="66" t="s">
        <v>773</v>
      </c>
      <c r="H311" s="74" t="s">
        <v>771</v>
      </c>
      <c r="I311" s="299">
        <f t="shared" si="20"/>
        <v>0</v>
      </c>
      <c r="K311" s="66">
        <f t="shared" si="21"/>
        <v>0</v>
      </c>
      <c r="L311" s="66">
        <f t="shared" si="22"/>
        <v>0</v>
      </c>
      <c r="M311" s="66"/>
      <c r="N311" s="307">
        <f t="shared" si="23"/>
        <v>0</v>
      </c>
      <c r="P311" s="284" t="s">
        <v>255</v>
      </c>
      <c r="Q311" s="139" t="s">
        <v>1707</v>
      </c>
      <c r="R311" s="66">
        <v>2</v>
      </c>
      <c r="S311" s="66" t="s">
        <v>773</v>
      </c>
      <c r="T311" s="74" t="s">
        <v>771</v>
      </c>
      <c r="U311" s="299">
        <f t="shared" si="24"/>
        <v>0</v>
      </c>
      <c r="V311" s="161"/>
    </row>
    <row r="312" spans="3:22">
      <c r="C312" s="358">
        <v>311</v>
      </c>
      <c r="D312" s="301" t="s">
        <v>622</v>
      </c>
      <c r="E312" s="139" t="s">
        <v>623</v>
      </c>
      <c r="F312" s="66">
        <v>2</v>
      </c>
      <c r="G312" s="66" t="s">
        <v>770</v>
      </c>
      <c r="H312" s="74" t="s">
        <v>771</v>
      </c>
      <c r="I312" s="299">
        <f t="shared" si="20"/>
        <v>1</v>
      </c>
      <c r="K312" s="66">
        <f t="shared" si="21"/>
        <v>0</v>
      </c>
      <c r="L312" s="66">
        <f t="shared" si="22"/>
        <v>0</v>
      </c>
      <c r="M312" s="66"/>
      <c r="N312" s="307">
        <f t="shared" si="23"/>
        <v>0</v>
      </c>
      <c r="P312" s="284" t="s">
        <v>622</v>
      </c>
      <c r="Q312" s="139" t="s">
        <v>1894</v>
      </c>
      <c r="R312" s="66">
        <v>2</v>
      </c>
      <c r="S312" s="66" t="s">
        <v>770</v>
      </c>
      <c r="T312" s="74" t="s">
        <v>771</v>
      </c>
      <c r="U312" s="299">
        <f t="shared" si="24"/>
        <v>1</v>
      </c>
      <c r="V312" s="161"/>
    </row>
    <row r="313" spans="3:22">
      <c r="C313" s="358">
        <v>312</v>
      </c>
      <c r="D313" s="301" t="s">
        <v>201</v>
      </c>
      <c r="E313" s="139" t="s">
        <v>202</v>
      </c>
      <c r="F313" s="66">
        <v>1</v>
      </c>
      <c r="G313" s="66" t="s">
        <v>773</v>
      </c>
      <c r="H313" s="74" t="s">
        <v>771</v>
      </c>
      <c r="I313" s="299">
        <f t="shared" si="20"/>
        <v>0</v>
      </c>
      <c r="K313" s="66">
        <f t="shared" si="21"/>
        <v>0</v>
      </c>
      <c r="L313" s="66">
        <f t="shared" si="22"/>
        <v>0</v>
      </c>
      <c r="M313" s="66"/>
      <c r="N313" s="307">
        <f t="shared" si="23"/>
        <v>0</v>
      </c>
      <c r="P313" s="284" t="s">
        <v>201</v>
      </c>
      <c r="Q313" s="139" t="s">
        <v>1678</v>
      </c>
      <c r="R313" s="66">
        <v>1</v>
      </c>
      <c r="S313" s="66" t="s">
        <v>773</v>
      </c>
      <c r="T313" s="74" t="s">
        <v>771</v>
      </c>
      <c r="U313" s="299">
        <f t="shared" si="24"/>
        <v>0</v>
      </c>
      <c r="V313" s="161"/>
    </row>
    <row r="314" spans="3:22">
      <c r="C314" s="358">
        <v>313</v>
      </c>
      <c r="D314" s="301" t="s">
        <v>613</v>
      </c>
      <c r="E314" s="139" t="s">
        <v>803</v>
      </c>
      <c r="F314" s="66">
        <v>1</v>
      </c>
      <c r="G314" s="66" t="s">
        <v>773</v>
      </c>
      <c r="H314" s="74" t="s">
        <v>771</v>
      </c>
      <c r="I314" s="299">
        <f t="shared" si="20"/>
        <v>0</v>
      </c>
      <c r="K314" s="66">
        <f t="shared" si="21"/>
        <v>0</v>
      </c>
      <c r="L314" s="66">
        <f t="shared" si="22"/>
        <v>0</v>
      </c>
      <c r="M314" s="66"/>
      <c r="N314" s="307">
        <f t="shared" si="23"/>
        <v>0</v>
      </c>
      <c r="P314" s="284" t="s">
        <v>613</v>
      </c>
      <c r="Q314" s="139" t="s">
        <v>1889</v>
      </c>
      <c r="R314" s="66">
        <v>1</v>
      </c>
      <c r="S314" s="66" t="s">
        <v>773</v>
      </c>
      <c r="T314" s="74" t="s">
        <v>771</v>
      </c>
      <c r="U314" s="299">
        <f t="shared" si="24"/>
        <v>0</v>
      </c>
      <c r="V314" s="161"/>
    </row>
    <row r="315" spans="3:22">
      <c r="C315" s="358">
        <v>314</v>
      </c>
      <c r="D315" s="301" t="s">
        <v>736</v>
      </c>
      <c r="E315" s="139" t="s">
        <v>808</v>
      </c>
      <c r="F315" s="66">
        <v>1</v>
      </c>
      <c r="G315" s="66" t="s">
        <v>773</v>
      </c>
      <c r="H315" s="74" t="s">
        <v>771</v>
      </c>
      <c r="I315" s="299">
        <f t="shared" si="20"/>
        <v>0</v>
      </c>
      <c r="K315" s="66">
        <f t="shared" si="21"/>
        <v>0</v>
      </c>
      <c r="L315" s="66">
        <f t="shared" si="22"/>
        <v>0</v>
      </c>
      <c r="M315" s="66"/>
      <c r="N315" s="307">
        <f t="shared" si="23"/>
        <v>0</v>
      </c>
      <c r="P315" s="284" t="s">
        <v>736</v>
      </c>
      <c r="Q315" s="139" t="s">
        <v>1955</v>
      </c>
      <c r="R315" s="66">
        <v>1</v>
      </c>
      <c r="S315" s="66" t="s">
        <v>773</v>
      </c>
      <c r="T315" s="74" t="s">
        <v>771</v>
      </c>
      <c r="U315" s="299">
        <f t="shared" si="24"/>
        <v>0</v>
      </c>
      <c r="V315" s="161"/>
    </row>
    <row r="316" spans="3:22">
      <c r="C316" s="358">
        <v>315</v>
      </c>
      <c r="D316" s="313" t="s">
        <v>1639</v>
      </c>
      <c r="E316" s="73" t="s">
        <v>1642</v>
      </c>
      <c r="F316" s="66">
        <v>2</v>
      </c>
      <c r="G316" s="66" t="s">
        <v>773</v>
      </c>
      <c r="H316" s="74" t="s">
        <v>771</v>
      </c>
      <c r="I316" s="299">
        <f t="shared" si="20"/>
        <v>0</v>
      </c>
      <c r="K316" s="66">
        <f t="shared" si="21"/>
        <v>0</v>
      </c>
      <c r="L316" s="66">
        <f t="shared" si="22"/>
        <v>0</v>
      </c>
      <c r="M316" s="66"/>
      <c r="N316" s="307">
        <f t="shared" si="23"/>
        <v>0</v>
      </c>
      <c r="P316" s="278" t="s">
        <v>1639</v>
      </c>
      <c r="Q316" s="73" t="s">
        <v>1969</v>
      </c>
      <c r="R316" s="66">
        <v>2</v>
      </c>
      <c r="S316" s="66" t="s">
        <v>773</v>
      </c>
      <c r="T316" s="74" t="s">
        <v>771</v>
      </c>
      <c r="U316" s="299">
        <f t="shared" si="24"/>
        <v>0</v>
      </c>
      <c r="V316" s="161"/>
    </row>
    <row r="317" spans="3:22">
      <c r="C317" s="358">
        <v>316</v>
      </c>
      <c r="D317" s="301" t="s">
        <v>438</v>
      </c>
      <c r="E317" s="139" t="s">
        <v>439</v>
      </c>
      <c r="F317" s="66">
        <v>2</v>
      </c>
      <c r="G317" s="66" t="s">
        <v>770</v>
      </c>
      <c r="H317" s="74" t="s">
        <v>771</v>
      </c>
      <c r="I317" s="299">
        <f t="shared" si="20"/>
        <v>1</v>
      </c>
      <c r="K317" s="66">
        <f t="shared" si="21"/>
        <v>0</v>
      </c>
      <c r="L317" s="66">
        <f t="shared" si="22"/>
        <v>0</v>
      </c>
      <c r="M317" s="66"/>
      <c r="N317" s="307">
        <f t="shared" si="23"/>
        <v>0</v>
      </c>
      <c r="P317" s="284" t="s">
        <v>438</v>
      </c>
      <c r="Q317" s="139" t="s">
        <v>1802</v>
      </c>
      <c r="R317" s="66">
        <v>2</v>
      </c>
      <c r="S317" s="66" t="s">
        <v>770</v>
      </c>
      <c r="T317" s="74" t="s">
        <v>771</v>
      </c>
      <c r="U317" s="299">
        <f t="shared" si="24"/>
        <v>1</v>
      </c>
      <c r="V317" s="161"/>
    </row>
    <row r="318" spans="3:22">
      <c r="C318" s="358">
        <v>317</v>
      </c>
      <c r="D318" s="301" t="s">
        <v>531</v>
      </c>
      <c r="E318" s="139" t="s">
        <v>532</v>
      </c>
      <c r="F318" s="66">
        <v>1</v>
      </c>
      <c r="G318" s="66" t="s">
        <v>773</v>
      </c>
      <c r="H318" s="74" t="s">
        <v>771</v>
      </c>
      <c r="I318" s="299">
        <f t="shared" si="20"/>
        <v>0</v>
      </c>
      <c r="K318" s="66">
        <f t="shared" si="21"/>
        <v>0</v>
      </c>
      <c r="L318" s="66">
        <f t="shared" si="22"/>
        <v>0</v>
      </c>
      <c r="M318" s="66"/>
      <c r="N318" s="307">
        <f t="shared" si="23"/>
        <v>0</v>
      </c>
      <c r="P318" s="284" t="s">
        <v>531</v>
      </c>
      <c r="Q318" s="139" t="s">
        <v>1847</v>
      </c>
      <c r="R318" s="66">
        <v>1</v>
      </c>
      <c r="S318" s="66" t="s">
        <v>773</v>
      </c>
      <c r="T318" s="74" t="s">
        <v>771</v>
      </c>
      <c r="U318" s="299">
        <f t="shared" si="24"/>
        <v>0</v>
      </c>
      <c r="V318" s="161"/>
    </row>
    <row r="319" spans="3:22">
      <c r="C319" s="358">
        <v>318</v>
      </c>
      <c r="D319" s="301" t="s">
        <v>412</v>
      </c>
      <c r="E319" s="139" t="s">
        <v>413</v>
      </c>
      <c r="F319" s="66">
        <v>2</v>
      </c>
      <c r="G319" s="66" t="s">
        <v>773</v>
      </c>
      <c r="H319" s="74" t="s">
        <v>771</v>
      </c>
      <c r="I319" s="299">
        <f t="shared" si="20"/>
        <v>0</v>
      </c>
      <c r="K319" s="66">
        <f t="shared" si="21"/>
        <v>0</v>
      </c>
      <c r="L319" s="66">
        <f t="shared" si="22"/>
        <v>0</v>
      </c>
      <c r="M319" s="66"/>
      <c r="N319" s="307">
        <f t="shared" si="23"/>
        <v>0</v>
      </c>
      <c r="P319" s="284" t="s">
        <v>412</v>
      </c>
      <c r="Q319" s="139" t="s">
        <v>1789</v>
      </c>
      <c r="R319" s="66">
        <v>2</v>
      </c>
      <c r="S319" s="66" t="s">
        <v>773</v>
      </c>
      <c r="T319" s="74" t="s">
        <v>771</v>
      </c>
      <c r="U319" s="299">
        <f t="shared" si="24"/>
        <v>0</v>
      </c>
      <c r="V319" s="161"/>
    </row>
    <row r="320" spans="3:22">
      <c r="C320" s="358">
        <v>319</v>
      </c>
      <c r="D320" s="302" t="s">
        <v>1643</v>
      </c>
      <c r="E320" s="73" t="s">
        <v>1644</v>
      </c>
      <c r="F320" s="66">
        <v>2</v>
      </c>
      <c r="G320" s="66" t="s">
        <v>773</v>
      </c>
      <c r="H320" s="74" t="s">
        <v>771</v>
      </c>
      <c r="I320" s="299">
        <f t="shared" si="20"/>
        <v>0</v>
      </c>
      <c r="K320" s="66">
        <f t="shared" si="21"/>
        <v>0</v>
      </c>
      <c r="L320" s="66">
        <f t="shared" si="22"/>
        <v>0</v>
      </c>
      <c r="M320" s="66"/>
      <c r="N320" s="307">
        <f t="shared" si="23"/>
        <v>0</v>
      </c>
      <c r="P320" s="172" t="s">
        <v>1643</v>
      </c>
      <c r="Q320" s="73" t="s">
        <v>2497</v>
      </c>
      <c r="R320" s="66">
        <v>2</v>
      </c>
      <c r="S320" s="66" t="s">
        <v>773</v>
      </c>
      <c r="T320" s="74" t="s">
        <v>771</v>
      </c>
      <c r="U320" s="299">
        <f t="shared" si="24"/>
        <v>0</v>
      </c>
      <c r="V320" s="161"/>
    </row>
    <row r="321" spans="3:22">
      <c r="C321" s="358">
        <v>320</v>
      </c>
      <c r="D321" s="301" t="s">
        <v>452</v>
      </c>
      <c r="E321" s="139" t="s">
        <v>453</v>
      </c>
      <c r="F321" s="66">
        <v>2</v>
      </c>
      <c r="G321" s="66" t="s">
        <v>770</v>
      </c>
      <c r="H321" s="74" t="s">
        <v>771</v>
      </c>
      <c r="I321" s="299">
        <f t="shared" si="20"/>
        <v>1</v>
      </c>
      <c r="K321" s="66">
        <f t="shared" si="21"/>
        <v>0</v>
      </c>
      <c r="L321" s="66">
        <f t="shared" si="22"/>
        <v>0</v>
      </c>
      <c r="M321" s="66"/>
      <c r="N321" s="307">
        <f t="shared" si="23"/>
        <v>0</v>
      </c>
      <c r="P321" s="284" t="s">
        <v>452</v>
      </c>
      <c r="Q321" s="139" t="s">
        <v>1809</v>
      </c>
      <c r="R321" s="66">
        <v>2</v>
      </c>
      <c r="S321" s="66" t="s">
        <v>770</v>
      </c>
      <c r="T321" s="74" t="s">
        <v>771</v>
      </c>
      <c r="U321" s="299">
        <f t="shared" si="24"/>
        <v>1</v>
      </c>
      <c r="V321" s="161"/>
    </row>
    <row r="322" spans="3:22">
      <c r="C322" s="358">
        <v>321</v>
      </c>
      <c r="D322" s="301" t="s">
        <v>495</v>
      </c>
      <c r="E322" s="139" t="s">
        <v>496</v>
      </c>
      <c r="F322" s="66">
        <v>2</v>
      </c>
      <c r="G322" s="66" t="s">
        <v>770</v>
      </c>
      <c r="H322" s="74" t="s">
        <v>771</v>
      </c>
      <c r="I322" s="299">
        <f t="shared" ref="I322:I331" si="25">IF(+G322="cash",1,0)</f>
        <v>1</v>
      </c>
      <c r="K322" s="66">
        <f t="shared" ref="K322:K331" si="26">+F322-R322</f>
        <v>0</v>
      </c>
      <c r="L322" s="66">
        <f t="shared" ref="L322:L331" si="27">+I322-U322</f>
        <v>0</v>
      </c>
      <c r="M322" s="66"/>
      <c r="N322" s="307">
        <f t="shared" ref="N322:N331" si="28">+P322-D322</f>
        <v>0</v>
      </c>
      <c r="P322" s="284" t="s">
        <v>495</v>
      </c>
      <c r="Q322" s="139" t="s">
        <v>1830</v>
      </c>
      <c r="R322" s="66">
        <v>2</v>
      </c>
      <c r="S322" s="66" t="s">
        <v>770</v>
      </c>
      <c r="T322" s="74" t="s">
        <v>771</v>
      </c>
      <c r="U322" s="299">
        <f t="shared" ref="U322:U331" si="29">IF(+S322="cash",1,0)</f>
        <v>1</v>
      </c>
      <c r="V322" s="161"/>
    </row>
    <row r="323" spans="3:22">
      <c r="C323" s="358">
        <v>322</v>
      </c>
      <c r="D323" s="301" t="s">
        <v>293</v>
      </c>
      <c r="E323" s="139" t="s">
        <v>294</v>
      </c>
      <c r="F323" s="66">
        <v>2</v>
      </c>
      <c r="G323" s="66" t="s">
        <v>770</v>
      </c>
      <c r="H323" s="74" t="s">
        <v>771</v>
      </c>
      <c r="I323" s="299">
        <f t="shared" si="25"/>
        <v>1</v>
      </c>
      <c r="K323" s="66">
        <f t="shared" si="26"/>
        <v>0</v>
      </c>
      <c r="L323" s="66">
        <f t="shared" si="27"/>
        <v>0</v>
      </c>
      <c r="M323" s="66"/>
      <c r="N323" s="307">
        <f t="shared" si="28"/>
        <v>0</v>
      </c>
      <c r="P323" s="284" t="s">
        <v>293</v>
      </c>
      <c r="Q323" s="139" t="s">
        <v>1726</v>
      </c>
      <c r="R323" s="66">
        <v>2</v>
      </c>
      <c r="S323" s="66" t="s">
        <v>770</v>
      </c>
      <c r="T323" s="74" t="s">
        <v>771</v>
      </c>
      <c r="U323" s="299">
        <f t="shared" si="29"/>
        <v>1</v>
      </c>
      <c r="V323" s="161"/>
    </row>
    <row r="324" spans="3:22">
      <c r="C324" s="358">
        <v>323</v>
      </c>
      <c r="D324" s="301" t="s">
        <v>426</v>
      </c>
      <c r="E324" s="139" t="s">
        <v>427</v>
      </c>
      <c r="F324" s="66">
        <v>2</v>
      </c>
      <c r="G324" s="66" t="s">
        <v>770</v>
      </c>
      <c r="H324" s="74" t="s">
        <v>771</v>
      </c>
      <c r="I324" s="299">
        <f t="shared" si="25"/>
        <v>1</v>
      </c>
      <c r="K324" s="66">
        <f t="shared" si="26"/>
        <v>0</v>
      </c>
      <c r="L324" s="66">
        <f t="shared" si="27"/>
        <v>0</v>
      </c>
      <c r="M324" s="66"/>
      <c r="N324" s="307">
        <f t="shared" si="28"/>
        <v>0</v>
      </c>
      <c r="P324" s="284" t="s">
        <v>426</v>
      </c>
      <c r="Q324" s="139" t="s">
        <v>1796</v>
      </c>
      <c r="R324" s="66">
        <v>2</v>
      </c>
      <c r="S324" s="66" t="s">
        <v>770</v>
      </c>
      <c r="T324" s="74" t="s">
        <v>771</v>
      </c>
      <c r="U324" s="299">
        <f t="shared" si="29"/>
        <v>1</v>
      </c>
      <c r="V324" s="161"/>
    </row>
    <row r="325" spans="3:22">
      <c r="C325" s="358">
        <v>324</v>
      </c>
      <c r="D325" s="301" t="s">
        <v>316</v>
      </c>
      <c r="E325" s="139" t="s">
        <v>317</v>
      </c>
      <c r="F325" s="66">
        <v>2</v>
      </c>
      <c r="G325" s="66" t="s">
        <v>770</v>
      </c>
      <c r="H325" s="74" t="s">
        <v>771</v>
      </c>
      <c r="I325" s="299">
        <f t="shared" si="25"/>
        <v>1</v>
      </c>
      <c r="K325" s="66">
        <f t="shared" si="26"/>
        <v>0</v>
      </c>
      <c r="L325" s="66">
        <f t="shared" si="27"/>
        <v>0</v>
      </c>
      <c r="M325" s="66"/>
      <c r="N325" s="307">
        <f t="shared" si="28"/>
        <v>0</v>
      </c>
      <c r="P325" s="284" t="s">
        <v>316</v>
      </c>
      <c r="Q325" s="139" t="s">
        <v>1738</v>
      </c>
      <c r="R325" s="66">
        <v>2</v>
      </c>
      <c r="S325" s="66" t="s">
        <v>770</v>
      </c>
      <c r="T325" s="74" t="s">
        <v>771</v>
      </c>
      <c r="U325" s="299">
        <f t="shared" si="29"/>
        <v>1</v>
      </c>
      <c r="V325" s="161"/>
    </row>
    <row r="326" spans="3:22">
      <c r="C326" s="358">
        <v>325</v>
      </c>
      <c r="D326" s="301" t="s">
        <v>396</v>
      </c>
      <c r="E326" s="139" t="s">
        <v>397</v>
      </c>
      <c r="F326" s="66">
        <v>2</v>
      </c>
      <c r="G326" s="66" t="s">
        <v>770</v>
      </c>
      <c r="H326" s="74" t="s">
        <v>771</v>
      </c>
      <c r="I326" s="299">
        <f t="shared" si="25"/>
        <v>1</v>
      </c>
      <c r="K326" s="66">
        <f t="shared" si="26"/>
        <v>0</v>
      </c>
      <c r="L326" s="66">
        <f t="shared" si="27"/>
        <v>0</v>
      </c>
      <c r="M326" s="66"/>
      <c r="N326" s="307">
        <f t="shared" si="28"/>
        <v>0</v>
      </c>
      <c r="P326" s="284" t="s">
        <v>396</v>
      </c>
      <c r="Q326" s="139" t="s">
        <v>1781</v>
      </c>
      <c r="R326" s="66">
        <v>2</v>
      </c>
      <c r="S326" s="66" t="s">
        <v>770</v>
      </c>
      <c r="T326" s="74" t="s">
        <v>771</v>
      </c>
      <c r="U326" s="299">
        <f t="shared" si="29"/>
        <v>1</v>
      </c>
      <c r="V326" s="45"/>
    </row>
    <row r="327" spans="3:22">
      <c r="C327" s="358">
        <v>326</v>
      </c>
      <c r="D327" s="301" t="s">
        <v>241</v>
      </c>
      <c r="E327" s="139" t="s">
        <v>242</v>
      </c>
      <c r="F327" s="66">
        <v>1</v>
      </c>
      <c r="G327" s="66" t="s">
        <v>773</v>
      </c>
      <c r="H327" s="74" t="s">
        <v>771</v>
      </c>
      <c r="I327" s="299">
        <f t="shared" si="25"/>
        <v>0</v>
      </c>
      <c r="K327" s="66">
        <f t="shared" si="26"/>
        <v>0</v>
      </c>
      <c r="L327" s="66">
        <f t="shared" si="27"/>
        <v>0</v>
      </c>
      <c r="M327" s="66"/>
      <c r="N327" s="307">
        <f t="shared" si="28"/>
        <v>0</v>
      </c>
      <c r="P327" s="284" t="s">
        <v>241</v>
      </c>
      <c r="Q327" s="139" t="s">
        <v>1700</v>
      </c>
      <c r="R327" s="66">
        <v>1</v>
      </c>
      <c r="S327" s="66" t="s">
        <v>773</v>
      </c>
      <c r="T327" s="74" t="s">
        <v>771</v>
      </c>
      <c r="U327" s="299">
        <f t="shared" si="29"/>
        <v>0</v>
      </c>
      <c r="V327" s="45"/>
    </row>
    <row r="328" spans="3:22">
      <c r="C328" s="358">
        <v>327</v>
      </c>
      <c r="D328" s="307" t="s">
        <v>1510</v>
      </c>
      <c r="E328" s="475" t="s">
        <v>1547</v>
      </c>
      <c r="F328" s="66">
        <v>2</v>
      </c>
      <c r="G328" s="66" t="s">
        <v>773</v>
      </c>
      <c r="H328" s="74" t="s">
        <v>771</v>
      </c>
      <c r="I328" s="299">
        <f t="shared" si="25"/>
        <v>0</v>
      </c>
      <c r="K328" s="66">
        <f t="shared" si="26"/>
        <v>0</v>
      </c>
      <c r="L328" s="66">
        <f t="shared" si="27"/>
        <v>0</v>
      </c>
      <c r="M328" s="66"/>
      <c r="N328" s="307">
        <f t="shared" si="28"/>
        <v>0</v>
      </c>
      <c r="P328" s="292" t="s">
        <v>1510</v>
      </c>
      <c r="Q328" s="475" t="s">
        <v>1957</v>
      </c>
      <c r="R328" s="66">
        <v>2</v>
      </c>
      <c r="S328" s="66" t="s">
        <v>773</v>
      </c>
      <c r="T328" s="74" t="s">
        <v>771</v>
      </c>
      <c r="U328" s="299">
        <f t="shared" si="29"/>
        <v>0</v>
      </c>
      <c r="V328" s="45"/>
    </row>
    <row r="329" spans="3:22" ht="17.25" customHeight="1">
      <c r="C329" s="358">
        <v>328</v>
      </c>
      <c r="D329" s="301" t="s">
        <v>715</v>
      </c>
      <c r="E329" s="139" t="s">
        <v>716</v>
      </c>
      <c r="F329" s="66">
        <v>1</v>
      </c>
      <c r="G329" s="66" t="s">
        <v>773</v>
      </c>
      <c r="H329" s="74" t="s">
        <v>771</v>
      </c>
      <c r="I329" s="299">
        <f t="shared" si="25"/>
        <v>0</v>
      </c>
      <c r="K329" s="66">
        <f t="shared" si="26"/>
        <v>0</v>
      </c>
      <c r="L329" s="66">
        <f t="shared" si="27"/>
        <v>0</v>
      </c>
      <c r="M329" s="66"/>
      <c r="N329" s="307">
        <f t="shared" si="28"/>
        <v>0</v>
      </c>
      <c r="P329" s="284" t="s">
        <v>715</v>
      </c>
      <c r="Q329" s="139" t="s">
        <v>1944</v>
      </c>
      <c r="R329" s="66">
        <v>1</v>
      </c>
      <c r="S329" s="66" t="s">
        <v>773</v>
      </c>
      <c r="T329" s="74" t="s">
        <v>771</v>
      </c>
      <c r="U329" s="299">
        <f t="shared" si="29"/>
        <v>0</v>
      </c>
      <c r="V329" s="45"/>
    </row>
    <row r="330" spans="3:22">
      <c r="C330" s="358">
        <v>329</v>
      </c>
      <c r="D330" s="301" t="s">
        <v>640</v>
      </c>
      <c r="E330" s="139" t="s">
        <v>641</v>
      </c>
      <c r="F330" s="66">
        <v>1</v>
      </c>
      <c r="G330" s="66" t="s">
        <v>773</v>
      </c>
      <c r="H330" s="74" t="s">
        <v>771</v>
      </c>
      <c r="I330" s="299">
        <f t="shared" si="25"/>
        <v>0</v>
      </c>
      <c r="K330" s="66">
        <f t="shared" si="26"/>
        <v>0</v>
      </c>
      <c r="L330" s="66">
        <f t="shared" si="27"/>
        <v>0</v>
      </c>
      <c r="M330" s="66"/>
      <c r="N330" s="307">
        <f t="shared" si="28"/>
        <v>0</v>
      </c>
      <c r="P330" s="284" t="s">
        <v>640</v>
      </c>
      <c r="Q330" s="139" t="s">
        <v>1904</v>
      </c>
      <c r="R330" s="66">
        <v>1</v>
      </c>
      <c r="S330" s="66" t="s">
        <v>773</v>
      </c>
      <c r="T330" s="74" t="s">
        <v>771</v>
      </c>
      <c r="U330" s="299">
        <f t="shared" si="29"/>
        <v>0</v>
      </c>
      <c r="V330" s="45"/>
    </row>
    <row r="331" spans="3:22">
      <c r="C331" s="358">
        <v>330</v>
      </c>
      <c r="D331" s="301" t="s">
        <v>732</v>
      </c>
      <c r="E331" s="298" t="s">
        <v>733</v>
      </c>
      <c r="F331" s="66">
        <v>2</v>
      </c>
      <c r="G331" s="66" t="s">
        <v>773</v>
      </c>
      <c r="H331" s="74" t="s">
        <v>771</v>
      </c>
      <c r="I331" s="299">
        <f t="shared" si="25"/>
        <v>0</v>
      </c>
      <c r="K331" s="66">
        <f t="shared" si="26"/>
        <v>0</v>
      </c>
      <c r="L331" s="66">
        <f t="shared" si="27"/>
        <v>0</v>
      </c>
      <c r="M331" s="66"/>
      <c r="N331" s="307">
        <f t="shared" si="28"/>
        <v>0</v>
      </c>
      <c r="P331" s="284" t="s">
        <v>732</v>
      </c>
      <c r="Q331" s="139" t="s">
        <v>1953</v>
      </c>
      <c r="R331" s="66">
        <v>2</v>
      </c>
      <c r="S331" s="66" t="s">
        <v>773</v>
      </c>
      <c r="T331" s="74" t="s">
        <v>771</v>
      </c>
      <c r="U331" s="299">
        <f t="shared" si="29"/>
        <v>0</v>
      </c>
      <c r="V331" s="45"/>
    </row>
    <row r="332" spans="3:22">
      <c r="P332" s="45"/>
      <c r="Q332" s="45"/>
      <c r="R332" s="68"/>
      <c r="S332" s="117"/>
      <c r="T332" s="117"/>
      <c r="U332" s="159"/>
      <c r="V332" s="45"/>
    </row>
    <row r="333" spans="3:22">
      <c r="R333"/>
      <c r="S333"/>
      <c r="T333"/>
    </row>
    <row r="334" spans="3:22">
      <c r="R334"/>
      <c r="S334"/>
      <c r="T334"/>
    </row>
    <row r="335" spans="3:22">
      <c r="R335"/>
      <c r="S335"/>
      <c r="T335"/>
    </row>
    <row r="336" spans="3:22">
      <c r="R336"/>
      <c r="S336"/>
      <c r="T336"/>
    </row>
    <row r="338" spans="18:20">
      <c r="R338"/>
      <c r="S338"/>
      <c r="T338"/>
    </row>
    <row r="339" spans="18:20">
      <c r="R339"/>
      <c r="S339"/>
      <c r="T339"/>
    </row>
    <row r="340" spans="18:20">
      <c r="R340"/>
      <c r="S340"/>
      <c r="T340"/>
    </row>
    <row r="341" spans="18:20">
      <c r="R341"/>
      <c r="S341"/>
      <c r="T341"/>
    </row>
    <row r="360" spans="22:22">
      <c r="V360" s="114"/>
    </row>
    <row r="361" spans="22:22">
      <c r="V361" s="114"/>
    </row>
    <row r="362" spans="22:22">
      <c r="V362" s="114"/>
    </row>
    <row r="363" spans="22:22">
      <c r="V363" s="114"/>
    </row>
    <row r="364" spans="22:22">
      <c r="V364" s="114"/>
    </row>
    <row r="365" spans="22:22">
      <c r="V365" s="114"/>
    </row>
    <row r="366" spans="22:22">
      <c r="V366" s="114"/>
    </row>
    <row r="367" spans="22:22">
      <c r="V367" s="114"/>
    </row>
    <row r="368" spans="22:22">
      <c r="V368" s="114"/>
    </row>
    <row r="369" spans="22:22">
      <c r="V369" s="114"/>
    </row>
  </sheetData>
  <sortState xmlns:xlrd2="http://schemas.microsoft.com/office/spreadsheetml/2017/richdata2" ref="D2:V331">
    <sortCondition ref="E2:E331"/>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S60"/>
  <sheetViews>
    <sheetView tabSelected="1" zoomScale="80" zoomScaleNormal="80" workbookViewId="0">
      <pane ySplit="4" topLeftCell="A5" activePane="bottomLeft" state="frozen"/>
      <selection pane="bottomLeft" activeCell="D1" sqref="D1"/>
    </sheetView>
  </sheetViews>
  <sheetFormatPr defaultRowHeight="14.4"/>
  <cols>
    <col min="1" max="1" width="47.5546875" bestFit="1" customWidth="1"/>
    <col min="2" max="2" width="18.109375" bestFit="1" customWidth="1"/>
    <col min="3" max="3" width="15.88671875" customWidth="1"/>
    <col min="4" max="4" width="15.44140625" bestFit="1" customWidth="1"/>
    <col min="5" max="5" width="16.44140625" bestFit="1" customWidth="1"/>
    <col min="6" max="6" width="15.44140625" bestFit="1" customWidth="1"/>
    <col min="7" max="7" width="14.21875" customWidth="1"/>
    <col min="8" max="11" width="1.109375" customWidth="1"/>
    <col min="12" max="15" width="15.33203125" customWidth="1"/>
    <col min="16" max="16" width="2" customWidth="1"/>
    <col min="17" max="17" width="0.44140625" customWidth="1"/>
    <col min="18" max="18" width="24.44140625" customWidth="1"/>
    <col min="19" max="19" width="46.88671875" customWidth="1"/>
    <col min="20" max="20" width="5.44140625" customWidth="1"/>
    <col min="21" max="21" width="7" customWidth="1"/>
    <col min="22" max="22" width="4.5546875" customWidth="1"/>
    <col min="23" max="25" width="3.88671875" customWidth="1"/>
  </cols>
  <sheetData>
    <row r="1" spans="1:19" ht="19.2">
      <c r="A1" s="155" t="s">
        <v>79</v>
      </c>
      <c r="B1" s="154" t="str">
        <f>INDEX(CCDDD!$P$2:$Q$331,MATCH(A2,CCDDD!$Q$2:$Q$331,0),1)</f>
        <v>14005</v>
      </c>
      <c r="C1" s="80"/>
      <c r="D1" s="80"/>
      <c r="E1" s="80"/>
      <c r="F1" s="80"/>
      <c r="G1" s="80"/>
      <c r="L1" s="674" t="s">
        <v>1516</v>
      </c>
      <c r="M1" s="675"/>
      <c r="N1" s="675"/>
      <c r="O1" s="676"/>
    </row>
    <row r="2" spans="1:19" ht="26.25" customHeight="1" thickBot="1">
      <c r="A2" s="671" t="s">
        <v>1728</v>
      </c>
      <c r="B2" s="671"/>
      <c r="L2" s="677" t="s">
        <v>2578</v>
      </c>
      <c r="M2" s="678"/>
      <c r="N2" s="678"/>
      <c r="O2" s="679"/>
    </row>
    <row r="3" spans="1:19" ht="18.600000000000001" thickBot="1">
      <c r="A3" s="80"/>
      <c r="B3" s="80"/>
      <c r="C3" s="80"/>
      <c r="D3" s="80"/>
      <c r="E3" s="80"/>
      <c r="F3" s="80"/>
      <c r="G3" s="80"/>
      <c r="L3" s="672" t="s">
        <v>1514</v>
      </c>
      <c r="M3" s="673"/>
      <c r="N3" s="118" t="s">
        <v>72</v>
      </c>
      <c r="O3" s="680" t="s">
        <v>1542</v>
      </c>
    </row>
    <row r="4" spans="1:19" ht="30.75" customHeight="1" thickBot="1">
      <c r="A4" s="532" t="s">
        <v>2578</v>
      </c>
      <c r="B4" s="533" t="s">
        <v>3</v>
      </c>
      <c r="C4" s="533" t="s">
        <v>6</v>
      </c>
      <c r="D4" s="533" t="s">
        <v>5</v>
      </c>
      <c r="E4" s="533" t="s">
        <v>4</v>
      </c>
      <c r="F4" s="533" t="s">
        <v>7</v>
      </c>
      <c r="G4" s="533" t="s">
        <v>8</v>
      </c>
      <c r="L4" s="157">
        <v>10</v>
      </c>
      <c r="M4" s="158">
        <v>11</v>
      </c>
      <c r="N4" s="119" t="s">
        <v>3</v>
      </c>
      <c r="O4" s="681"/>
    </row>
    <row r="5" spans="1:19" ht="15.6">
      <c r="A5" s="239" t="s">
        <v>1515</v>
      </c>
      <c r="B5" s="81">
        <v>0</v>
      </c>
      <c r="C5" s="81">
        <v>0</v>
      </c>
      <c r="D5" s="81">
        <v>0</v>
      </c>
      <c r="E5" s="81">
        <v>0</v>
      </c>
      <c r="F5" s="81">
        <v>0</v>
      </c>
      <c r="G5" s="81">
        <v>0</v>
      </c>
      <c r="L5" s="120"/>
      <c r="M5" s="121"/>
      <c r="N5" s="121"/>
      <c r="O5" s="122"/>
    </row>
    <row r="6" spans="1:19" ht="15.75" customHeight="1">
      <c r="A6" s="239" t="s">
        <v>1186</v>
      </c>
      <c r="B6" s="81">
        <v>0</v>
      </c>
      <c r="C6" s="81">
        <v>0</v>
      </c>
      <c r="D6" s="81">
        <v>0</v>
      </c>
      <c r="E6" s="81">
        <v>0</v>
      </c>
      <c r="F6" s="81">
        <v>0</v>
      </c>
      <c r="G6" s="81">
        <v>0</v>
      </c>
      <c r="L6" s="123"/>
      <c r="M6" s="124"/>
      <c r="N6" s="124"/>
      <c r="O6" s="125"/>
      <c r="R6" s="665" t="s">
        <v>2527</v>
      </c>
      <c r="S6" s="666"/>
    </row>
    <row r="7" spans="1:19" ht="15.75" customHeight="1">
      <c r="A7" s="239" t="s">
        <v>1</v>
      </c>
      <c r="B7" s="82">
        <f>B5-B6</f>
        <v>0</v>
      </c>
      <c r="C7" s="82">
        <f>C5-C6</f>
        <v>0</v>
      </c>
      <c r="D7" s="82">
        <f>D5-D6</f>
        <v>0</v>
      </c>
      <c r="E7" s="82">
        <f t="shared" ref="E7:G7" si="0">E5-E6</f>
        <v>0</v>
      </c>
      <c r="F7" s="82">
        <f t="shared" si="0"/>
        <v>0</v>
      </c>
      <c r="G7" s="82">
        <f t="shared" si="0"/>
        <v>0</v>
      </c>
      <c r="L7" s="126"/>
      <c r="M7" s="127"/>
      <c r="N7" s="124"/>
      <c r="O7" s="125"/>
      <c r="R7" s="667"/>
      <c r="S7" s="668"/>
    </row>
    <row r="8" spans="1:19" ht="15.75" customHeight="1">
      <c r="A8" s="80"/>
      <c r="B8" s="83"/>
      <c r="C8" s="80"/>
      <c r="D8" s="80"/>
      <c r="E8" s="80"/>
      <c r="F8" s="80"/>
      <c r="G8" s="80"/>
      <c r="L8" s="123"/>
      <c r="M8" s="124"/>
      <c r="N8" s="124"/>
      <c r="O8" s="125"/>
      <c r="R8" s="667"/>
      <c r="S8" s="668"/>
    </row>
    <row r="9" spans="1:19" ht="15.75" customHeight="1">
      <c r="A9" s="80" t="s">
        <v>2</v>
      </c>
      <c r="B9" s="84">
        <f>B10+B11</f>
        <v>0</v>
      </c>
      <c r="C9" s="84">
        <f>C10+C11</f>
        <v>0</v>
      </c>
      <c r="D9" s="84">
        <f>D10+D11</f>
        <v>0</v>
      </c>
      <c r="E9" s="84">
        <f t="shared" ref="E9:G9" si="1">E10+E11</f>
        <v>0</v>
      </c>
      <c r="F9" s="84">
        <f t="shared" si="1"/>
        <v>0</v>
      </c>
      <c r="G9" s="84">
        <f t="shared" si="1"/>
        <v>0</v>
      </c>
      <c r="L9" s="128">
        <f t="shared" ref="L9:N9" si="2">L10+L11</f>
        <v>0</v>
      </c>
      <c r="M9" s="129">
        <f t="shared" si="2"/>
        <v>0</v>
      </c>
      <c r="N9" s="130">
        <f t="shared" si="2"/>
        <v>0</v>
      </c>
      <c r="O9" s="142">
        <f>+B9-N9</f>
        <v>0</v>
      </c>
      <c r="R9" s="667"/>
      <c r="S9" s="668"/>
    </row>
    <row r="10" spans="1:19" ht="15.75" customHeight="1">
      <c r="A10" s="85" t="s">
        <v>9</v>
      </c>
      <c r="B10" s="84">
        <f>'GL 840 Nonspendable'!B9</f>
        <v>0</v>
      </c>
      <c r="C10" s="84">
        <f>'GL 840 Nonspendable'!B16</f>
        <v>0</v>
      </c>
      <c r="D10" s="83"/>
      <c r="E10" s="84">
        <f>'GL 840 Nonspendable'!B24</f>
        <v>0</v>
      </c>
      <c r="F10" s="83"/>
      <c r="G10" s="83"/>
      <c r="L10" s="131">
        <v>0</v>
      </c>
      <c r="M10" s="132">
        <v>0</v>
      </c>
      <c r="N10" s="130">
        <f>+L10+M10</f>
        <v>0</v>
      </c>
      <c r="O10" s="142">
        <f>+B10-N10</f>
        <v>0</v>
      </c>
      <c r="R10" s="667"/>
      <c r="S10" s="668"/>
    </row>
    <row r="11" spans="1:19" ht="15.75" customHeight="1">
      <c r="A11" s="85" t="s">
        <v>10</v>
      </c>
      <c r="B11" s="86"/>
      <c r="C11" s="86"/>
      <c r="D11" s="86"/>
      <c r="E11" s="86"/>
      <c r="F11" s="86"/>
      <c r="G11" s="87">
        <f>'GL 855 Nonspendable'!B7</f>
        <v>0</v>
      </c>
      <c r="L11" s="123"/>
      <c r="M11" s="124"/>
      <c r="N11" s="124"/>
      <c r="O11" s="125"/>
      <c r="R11" s="667"/>
      <c r="S11" s="668"/>
    </row>
    <row r="12" spans="1:19" ht="15.75" customHeight="1">
      <c r="A12" s="80"/>
      <c r="B12" s="83"/>
      <c r="C12" s="83"/>
      <c r="D12" s="83"/>
      <c r="E12" s="83"/>
      <c r="F12" s="83"/>
      <c r="G12" s="83"/>
      <c r="L12" s="123"/>
      <c r="M12" s="124"/>
      <c r="N12" s="124"/>
      <c r="O12" s="125"/>
      <c r="R12" s="667"/>
      <c r="S12" s="668"/>
    </row>
    <row r="13" spans="1:19" ht="15.75" customHeight="1">
      <c r="A13" s="80" t="s">
        <v>11</v>
      </c>
      <c r="B13" s="84">
        <f>SUM(B14:B32)</f>
        <v>1794832.2439999999</v>
      </c>
      <c r="C13" s="84">
        <f>SUM(C14:C32)</f>
        <v>0</v>
      </c>
      <c r="D13" s="84">
        <f>SUM(D15:D32)</f>
        <v>0</v>
      </c>
      <c r="E13" s="84">
        <f>SUM(E14:E32)</f>
        <v>0</v>
      </c>
      <c r="F13" s="84">
        <f>SUM(F16,F21:F22,F24)</f>
        <v>0</v>
      </c>
      <c r="G13" s="84">
        <f>SUM(G14:G32)</f>
        <v>0</v>
      </c>
      <c r="L13" s="128">
        <f t="shared" ref="L13:N13" si="3">SUM(L14:L32)</f>
        <v>0</v>
      </c>
      <c r="M13" s="129">
        <f t="shared" si="3"/>
        <v>0</v>
      </c>
      <c r="N13" s="130">
        <f t="shared" si="3"/>
        <v>0</v>
      </c>
      <c r="O13" s="142">
        <f>+B13-N13</f>
        <v>1794832.2439999999</v>
      </c>
      <c r="R13" s="667"/>
      <c r="S13" s="668"/>
    </row>
    <row r="14" spans="1:19" ht="15.75" customHeight="1">
      <c r="A14" s="85" t="s">
        <v>12</v>
      </c>
      <c r="B14" s="84">
        <f>'GL 810 Restricted'!B5</f>
        <v>0</v>
      </c>
      <c r="C14" s="84">
        <f>'GL 810 Restricted'!E5</f>
        <v>0</v>
      </c>
      <c r="D14" s="80"/>
      <c r="E14" s="84">
        <f>'GL 810 Restricted'!C5</f>
        <v>0</v>
      </c>
      <c r="F14" s="80"/>
      <c r="G14" s="84">
        <f>'GL 810 Restricted'!G5</f>
        <v>0</v>
      </c>
      <c r="L14" s="131">
        <v>0</v>
      </c>
      <c r="M14" s="132">
        <v>0</v>
      </c>
      <c r="N14" s="130">
        <f t="shared" ref="N14:N15" si="4">+L14+M14</f>
        <v>0</v>
      </c>
      <c r="O14" s="142">
        <f t="shared" ref="O14:O15" si="5">+B14-N14</f>
        <v>0</v>
      </c>
      <c r="R14" s="667"/>
      <c r="S14" s="668"/>
    </row>
    <row r="15" spans="1:19" ht="15.75" customHeight="1">
      <c r="A15" s="85" t="s">
        <v>13</v>
      </c>
      <c r="B15" s="84">
        <f>IF(VLOOKUP(B1,CCDDD!$P$2:$S$331,4,FALSE)="Cash",'GL 815 Restricted'!$C$14,0)</f>
        <v>0</v>
      </c>
      <c r="C15" s="83"/>
      <c r="D15" s="83"/>
      <c r="E15" s="83"/>
      <c r="F15" s="83"/>
      <c r="G15" s="83"/>
      <c r="L15" s="131">
        <v>0</v>
      </c>
      <c r="M15" s="132">
        <v>0</v>
      </c>
      <c r="N15" s="130">
        <f t="shared" si="4"/>
        <v>0</v>
      </c>
      <c r="O15" s="142">
        <f t="shared" si="5"/>
        <v>0</v>
      </c>
      <c r="R15" s="667"/>
      <c r="S15" s="668"/>
    </row>
    <row r="16" spans="1:19" ht="15.75" customHeight="1">
      <c r="A16" s="88" t="s">
        <v>1143</v>
      </c>
      <c r="B16" s="89"/>
      <c r="C16" s="90">
        <f>C7-C9-C14-C24</f>
        <v>0</v>
      </c>
      <c r="D16" s="83"/>
      <c r="E16" s="83"/>
      <c r="F16" s="91">
        <f>IF(F7-F9-F34-SUM(F21:F24)&gt;=0,F7-F9-F34-SUM(F21:F24),0)</f>
        <v>0</v>
      </c>
      <c r="G16" s="83"/>
      <c r="L16" s="123"/>
      <c r="M16" s="124"/>
      <c r="N16" s="124"/>
      <c r="O16" s="125"/>
      <c r="R16" s="667"/>
      <c r="S16" s="668"/>
    </row>
    <row r="17" spans="1:19" ht="15.6">
      <c r="A17" s="85" t="s">
        <v>14</v>
      </c>
      <c r="B17" s="84">
        <f>'GL 821 Restricted'!C171</f>
        <v>1794832.2439999999</v>
      </c>
      <c r="C17" s="83"/>
      <c r="D17" s="83"/>
      <c r="E17" s="83"/>
      <c r="F17" s="83"/>
      <c r="G17" s="83"/>
      <c r="L17" s="131">
        <v>0</v>
      </c>
      <c r="M17" s="132">
        <v>0</v>
      </c>
      <c r="N17" s="130">
        <f t="shared" ref="N17:N24" si="6">+L17+M17</f>
        <v>0</v>
      </c>
      <c r="O17" s="142">
        <f t="shared" ref="O17:O24" si="7">+B17-N17</f>
        <v>1794832.2439999999</v>
      </c>
      <c r="R17" s="667"/>
      <c r="S17" s="668"/>
    </row>
    <row r="18" spans="1:19" ht="15.6">
      <c r="A18" s="252" t="s">
        <v>1992</v>
      </c>
      <c r="B18" s="84">
        <f>'GL 823 Restricted'!F23</f>
        <v>0</v>
      </c>
      <c r="C18" s="83"/>
      <c r="D18" s="83"/>
      <c r="E18" s="83"/>
      <c r="F18" s="83"/>
      <c r="G18" s="83"/>
      <c r="L18" s="131">
        <v>0</v>
      </c>
      <c r="M18" s="132">
        <v>0</v>
      </c>
      <c r="N18" s="130">
        <f t="shared" ref="N18" si="8">+L18+M18</f>
        <v>0</v>
      </c>
      <c r="O18" s="142">
        <f t="shared" ref="O18" si="9">+B18-N18</f>
        <v>0</v>
      </c>
      <c r="R18" s="667"/>
      <c r="S18" s="668"/>
    </row>
    <row r="19" spans="1:19" ht="15.6">
      <c r="A19" s="85" t="s">
        <v>1094</v>
      </c>
      <c r="B19" s="84">
        <f>'GL 825 Restricted'!E44</f>
        <v>0</v>
      </c>
      <c r="C19" s="83"/>
      <c r="D19" s="83"/>
      <c r="E19" s="84">
        <f>'GL 825 Restricted'!E51</f>
        <v>0</v>
      </c>
      <c r="F19" s="83"/>
      <c r="G19" s="83"/>
      <c r="L19" s="131">
        <v>0</v>
      </c>
      <c r="M19" s="132">
        <v>0</v>
      </c>
      <c r="N19" s="130">
        <f t="shared" si="6"/>
        <v>0</v>
      </c>
      <c r="O19" s="142">
        <f t="shared" si="7"/>
        <v>0</v>
      </c>
      <c r="R19" s="667"/>
      <c r="S19" s="668"/>
    </row>
    <row r="20" spans="1:19" ht="15.6" customHeight="1">
      <c r="A20" s="85" t="s">
        <v>1138</v>
      </c>
      <c r="B20" s="84">
        <f>IF('GL 828 Restricted'!B37&gt;0,'GL 828 Restricted'!B37,0)</f>
        <v>0</v>
      </c>
      <c r="C20" s="83"/>
      <c r="D20" s="83"/>
      <c r="E20" s="83"/>
      <c r="F20" s="83"/>
      <c r="G20" s="83"/>
      <c r="L20" s="131">
        <v>0</v>
      </c>
      <c r="M20" s="132">
        <v>0</v>
      </c>
      <c r="N20" s="130">
        <f t="shared" si="6"/>
        <v>0</v>
      </c>
      <c r="O20" s="142">
        <f t="shared" si="7"/>
        <v>0</v>
      </c>
      <c r="R20" s="667"/>
      <c r="S20" s="668"/>
    </row>
    <row r="21" spans="1:19" ht="15.6" customHeight="1">
      <c r="A21" s="85" t="s">
        <v>15</v>
      </c>
      <c r="B21" s="84">
        <f>'GL 830 Restricted'!B6</f>
        <v>0</v>
      </c>
      <c r="C21" s="83"/>
      <c r="D21" s="90">
        <f>D7-D22-D45</f>
        <v>0</v>
      </c>
      <c r="E21" s="84">
        <f>'GL 830 Restricted'!C6</f>
        <v>0</v>
      </c>
      <c r="F21" s="84">
        <f>'GL 830 Restricted'!D6</f>
        <v>0</v>
      </c>
      <c r="G21" s="83"/>
      <c r="L21" s="131">
        <v>0</v>
      </c>
      <c r="M21" s="132">
        <v>0</v>
      </c>
      <c r="N21" s="130">
        <f t="shared" si="6"/>
        <v>0</v>
      </c>
      <c r="O21" s="142">
        <f t="shared" si="7"/>
        <v>0</v>
      </c>
      <c r="R21" s="667"/>
      <c r="S21" s="668"/>
    </row>
    <row r="22" spans="1:19" ht="15.6" customHeight="1">
      <c r="A22" s="85" t="s">
        <v>107</v>
      </c>
      <c r="B22" s="84">
        <f>'GL 835 Restricted'!B6</f>
        <v>0</v>
      </c>
      <c r="C22" s="83"/>
      <c r="D22" s="84">
        <f>'GL 835 Restricted'!C6</f>
        <v>0</v>
      </c>
      <c r="E22" s="84">
        <f>'GL 835 Restricted'!D6</f>
        <v>0</v>
      </c>
      <c r="F22" s="84">
        <f>'GL 835 Restricted'!E6</f>
        <v>0</v>
      </c>
      <c r="G22" s="83"/>
      <c r="L22" s="131">
        <v>0</v>
      </c>
      <c r="M22" s="132">
        <v>0</v>
      </c>
      <c r="N22" s="130">
        <f t="shared" si="6"/>
        <v>0</v>
      </c>
      <c r="O22" s="142">
        <f t="shared" si="7"/>
        <v>0</v>
      </c>
      <c r="R22" s="667"/>
      <c r="S22" s="668"/>
    </row>
    <row r="23" spans="1:19" ht="15.6" customHeight="1">
      <c r="A23" s="92" t="s">
        <v>16</v>
      </c>
      <c r="B23" s="84">
        <f>'GL 845 Restricted'!B7</f>
        <v>0</v>
      </c>
      <c r="C23" s="83"/>
      <c r="D23" s="83"/>
      <c r="E23" s="83"/>
      <c r="F23" s="83"/>
      <c r="G23" s="83"/>
      <c r="L23" s="131">
        <v>0</v>
      </c>
      <c r="M23" s="132">
        <v>0</v>
      </c>
      <c r="N23" s="130">
        <f t="shared" si="6"/>
        <v>0</v>
      </c>
      <c r="O23" s="142">
        <f t="shared" si="7"/>
        <v>0</v>
      </c>
      <c r="R23" s="669"/>
      <c r="S23" s="670"/>
    </row>
    <row r="24" spans="1:19" ht="15.6">
      <c r="A24" s="85" t="s">
        <v>17</v>
      </c>
      <c r="B24" s="84">
        <f>'GL 850 Restricted'!B8</f>
        <v>0</v>
      </c>
      <c r="C24" s="84">
        <f>'GL 850 Restricted'!C8</f>
        <v>0</v>
      </c>
      <c r="D24" s="83"/>
      <c r="E24" s="84">
        <f>'GL 850 Restricted'!D8</f>
        <v>0</v>
      </c>
      <c r="F24" s="84">
        <f>'GL 850 Restricted'!E8</f>
        <v>0</v>
      </c>
      <c r="G24" s="83"/>
      <c r="L24" s="131">
        <v>0</v>
      </c>
      <c r="M24" s="132">
        <v>0</v>
      </c>
      <c r="N24" s="130">
        <f t="shared" si="6"/>
        <v>0</v>
      </c>
      <c r="O24" s="142">
        <f t="shared" si="7"/>
        <v>0</v>
      </c>
    </row>
    <row r="25" spans="1:19" ht="15.6">
      <c r="A25" s="92" t="s">
        <v>18</v>
      </c>
      <c r="B25" s="86"/>
      <c r="C25" s="86"/>
      <c r="D25" s="86"/>
      <c r="E25" s="87">
        <f>'GL 861 CPF Restricted'!C11</f>
        <v>0</v>
      </c>
      <c r="F25" s="86"/>
      <c r="G25" s="86"/>
      <c r="L25" s="123"/>
      <c r="M25" s="124"/>
      <c r="N25" s="124"/>
      <c r="O25" s="125"/>
    </row>
    <row r="26" spans="1:19" ht="15.6">
      <c r="A26" s="85" t="s">
        <v>20</v>
      </c>
      <c r="B26" s="86"/>
      <c r="C26" s="86"/>
      <c r="D26" s="86"/>
      <c r="E26" s="87">
        <f>'GL 863 CPF Restricted'!C11</f>
        <v>0</v>
      </c>
      <c r="F26" s="86"/>
      <c r="G26" s="86"/>
      <c r="L26" s="123"/>
      <c r="M26" s="124"/>
      <c r="N26" s="124"/>
      <c r="O26" s="125"/>
    </row>
    <row r="27" spans="1:19" ht="15.6">
      <c r="A27" s="85" t="s">
        <v>21</v>
      </c>
      <c r="B27" s="86"/>
      <c r="C27" s="86"/>
      <c r="D27" s="86"/>
      <c r="E27" s="87">
        <f>'GL 864 CPF Restricted'!C11</f>
        <v>0</v>
      </c>
      <c r="F27" s="86"/>
      <c r="G27" s="86"/>
      <c r="L27" s="123"/>
      <c r="M27" s="124"/>
      <c r="N27" s="124"/>
      <c r="O27" s="125"/>
    </row>
    <row r="28" spans="1:19" ht="15.6">
      <c r="A28" s="92" t="s">
        <v>22</v>
      </c>
      <c r="B28" s="86"/>
      <c r="C28" s="86"/>
      <c r="D28" s="86"/>
      <c r="E28" s="87">
        <f>'GL 865 CPF Restricted'!C11</f>
        <v>0</v>
      </c>
      <c r="F28" s="86"/>
      <c r="G28" s="86"/>
      <c r="L28" s="123"/>
      <c r="M28" s="124"/>
      <c r="N28" s="124"/>
      <c r="O28" s="125"/>
    </row>
    <row r="29" spans="1:19" ht="15.6">
      <c r="A29" s="92" t="s">
        <v>23</v>
      </c>
      <c r="B29" s="86"/>
      <c r="C29" s="86"/>
      <c r="D29" s="86"/>
      <c r="E29" s="87">
        <f>'GL 866 CPF Restricted'!C11</f>
        <v>0</v>
      </c>
      <c r="F29" s="86"/>
      <c r="G29" s="86"/>
      <c r="L29" s="123"/>
      <c r="M29" s="124"/>
      <c r="N29" s="124"/>
      <c r="O29" s="125"/>
    </row>
    <row r="30" spans="1:19" ht="15.6">
      <c r="A30" s="85" t="s">
        <v>24</v>
      </c>
      <c r="B30" s="86"/>
      <c r="C30" s="86"/>
      <c r="D30" s="86"/>
      <c r="E30" s="87">
        <f>'GL 867 CPF Restricted'!C11</f>
        <v>0</v>
      </c>
      <c r="F30" s="86"/>
      <c r="G30" s="86"/>
      <c r="L30" s="123"/>
      <c r="M30" s="124"/>
      <c r="N30" s="124"/>
      <c r="O30" s="125"/>
    </row>
    <row r="31" spans="1:19" ht="15.6">
      <c r="A31" s="225" t="s">
        <v>2529</v>
      </c>
      <c r="B31" s="86"/>
      <c r="C31" s="86"/>
      <c r="D31" s="86"/>
      <c r="E31" s="87">
        <f>'GL 868 CPF Restricted'!C8</f>
        <v>0</v>
      </c>
      <c r="F31" s="86"/>
      <c r="G31" s="86"/>
      <c r="L31" s="123"/>
      <c r="M31" s="124"/>
      <c r="N31" s="124"/>
      <c r="O31" s="125"/>
    </row>
    <row r="32" spans="1:19" ht="15.6">
      <c r="A32" s="85" t="s">
        <v>25</v>
      </c>
      <c r="B32" s="86"/>
      <c r="C32" s="86"/>
      <c r="D32" s="86"/>
      <c r="E32" s="87">
        <f>'GL 869 CPF Restricted'!C11</f>
        <v>0</v>
      </c>
      <c r="F32" s="86"/>
      <c r="G32" s="86"/>
      <c r="L32" s="123"/>
      <c r="M32" s="124"/>
      <c r="N32" s="124"/>
      <c r="O32" s="125"/>
    </row>
    <row r="33" spans="1:15" ht="15.6">
      <c r="A33" s="80"/>
      <c r="B33" s="83"/>
      <c r="C33" s="83"/>
      <c r="D33" s="83"/>
      <c r="E33" s="83"/>
      <c r="F33" s="83"/>
      <c r="G33" s="83"/>
      <c r="L33" s="123"/>
      <c r="M33" s="124"/>
      <c r="N33" s="124"/>
      <c r="O33" s="125"/>
    </row>
    <row r="34" spans="1:15" ht="15.6">
      <c r="A34" s="93" t="s">
        <v>26</v>
      </c>
      <c r="B34" s="84">
        <f>SUM(B35:B38)</f>
        <v>0</v>
      </c>
      <c r="C34" s="89"/>
      <c r="D34" s="89"/>
      <c r="E34" s="84">
        <f>SUM(E35:E38)</f>
        <v>0</v>
      </c>
      <c r="F34" s="84">
        <f>SUM(F35:F38)</f>
        <v>0</v>
      </c>
      <c r="G34" s="84">
        <f>SUM(G35:G38)</f>
        <v>0</v>
      </c>
      <c r="L34" s="128">
        <f t="shared" ref="L34:N34" si="10">SUM(L35:L38)</f>
        <v>0</v>
      </c>
      <c r="M34" s="129">
        <f t="shared" si="10"/>
        <v>0</v>
      </c>
      <c r="N34" s="130">
        <f t="shared" si="10"/>
        <v>0</v>
      </c>
      <c r="O34" s="142">
        <f>+B34-N34</f>
        <v>0</v>
      </c>
    </row>
    <row r="35" spans="1:15" ht="15.6">
      <c r="A35" s="85" t="s">
        <v>19</v>
      </c>
      <c r="B35" s="86"/>
      <c r="C35" s="86"/>
      <c r="D35" s="86"/>
      <c r="E35" s="87">
        <f>'GL 862 CPF Restricted'!C11</f>
        <v>0</v>
      </c>
      <c r="F35" s="86"/>
      <c r="G35" s="86"/>
      <c r="L35" s="123"/>
      <c r="M35" s="124"/>
      <c r="N35" s="124"/>
      <c r="O35" s="125"/>
    </row>
    <row r="36" spans="1:15" ht="15.6">
      <c r="A36" s="92" t="s">
        <v>27</v>
      </c>
      <c r="B36" s="84">
        <f>'GL 870 Committed'!B6</f>
        <v>0</v>
      </c>
      <c r="C36" s="89"/>
      <c r="D36" s="89"/>
      <c r="E36" s="84">
        <f>'GL 870 Committed'!C6</f>
        <v>0</v>
      </c>
      <c r="F36" s="84">
        <f>'GL 870 Committed'!G6</f>
        <v>0</v>
      </c>
      <c r="G36" s="84">
        <f>'GL 870 Committed'!F6</f>
        <v>0</v>
      </c>
      <c r="L36" s="131">
        <v>0</v>
      </c>
      <c r="M36" s="132">
        <v>0</v>
      </c>
      <c r="N36" s="130">
        <f>+L36+M36</f>
        <v>0</v>
      </c>
      <c r="O36" s="142">
        <f>+B36-N36</f>
        <v>0</v>
      </c>
    </row>
    <row r="37" spans="1:15" ht="15.6">
      <c r="A37" s="94" t="s">
        <v>1180</v>
      </c>
      <c r="B37" s="84">
        <f>'GL 872 Committed'!B5</f>
        <v>0</v>
      </c>
      <c r="C37" s="89"/>
      <c r="D37" s="89"/>
      <c r="E37" s="89"/>
      <c r="F37" s="89"/>
      <c r="G37" s="89"/>
      <c r="L37" s="131">
        <v>0</v>
      </c>
      <c r="M37" s="132">
        <v>0</v>
      </c>
      <c r="N37" s="130">
        <f>+L37+M37</f>
        <v>0</v>
      </c>
      <c r="O37" s="142">
        <f>+B37-N37</f>
        <v>0</v>
      </c>
    </row>
    <row r="38" spans="1:15" ht="15.6">
      <c r="A38" s="225" t="s">
        <v>1991</v>
      </c>
      <c r="B38" s="84">
        <f>'GL 873 Committed'!B5</f>
        <v>0</v>
      </c>
      <c r="C38" s="83"/>
      <c r="D38" s="89"/>
      <c r="E38" s="83"/>
      <c r="F38" s="83"/>
      <c r="G38" s="83"/>
      <c r="L38" s="131">
        <v>0</v>
      </c>
      <c r="M38" s="132">
        <v>0</v>
      </c>
      <c r="N38" s="130">
        <f>+L38+M38</f>
        <v>0</v>
      </c>
      <c r="O38" s="142">
        <f>+B38-N38</f>
        <v>0</v>
      </c>
    </row>
    <row r="39" spans="1:15" ht="15.6">
      <c r="A39" s="95"/>
      <c r="B39" s="86"/>
      <c r="C39" s="86"/>
      <c r="D39" s="86"/>
      <c r="E39" s="80"/>
      <c r="F39" s="86"/>
      <c r="G39" s="86"/>
      <c r="L39" s="123"/>
      <c r="M39" s="124"/>
      <c r="N39" s="124"/>
      <c r="O39" s="125"/>
    </row>
    <row r="40" spans="1:15" ht="15.6">
      <c r="A40" s="80"/>
      <c r="B40" s="83"/>
      <c r="C40" s="83"/>
      <c r="D40" s="89"/>
      <c r="E40" s="83"/>
      <c r="F40" s="83"/>
      <c r="G40" s="83"/>
      <c r="L40" s="123"/>
      <c r="M40" s="124"/>
      <c r="N40" s="124"/>
      <c r="O40" s="125"/>
    </row>
    <row r="41" spans="1:15" ht="15.6">
      <c r="A41" s="80" t="s">
        <v>28</v>
      </c>
      <c r="B41" s="84">
        <f>MAX(MIN(SUM(B42:B45),B7-B9-B13-B34),0)</f>
        <v>0</v>
      </c>
      <c r="C41" s="89"/>
      <c r="D41" s="89"/>
      <c r="E41" s="84">
        <f>E45</f>
        <v>0</v>
      </c>
      <c r="F41" s="89"/>
      <c r="G41" s="84">
        <f>G45</f>
        <v>0</v>
      </c>
      <c r="L41" s="128">
        <f>SUM(L42:L45)</f>
        <v>0</v>
      </c>
      <c r="M41" s="129">
        <f>SUM(M42:M45)</f>
        <v>0</v>
      </c>
      <c r="N41" s="130">
        <f>SUM(N42:N45)</f>
        <v>0</v>
      </c>
      <c r="O41" s="142">
        <f t="shared" ref="O41:O45" si="11">+B41-N41</f>
        <v>0</v>
      </c>
    </row>
    <row r="42" spans="1:15" ht="15.6">
      <c r="A42" s="92" t="s">
        <v>29</v>
      </c>
      <c r="B42" s="84">
        <f>'GL 875 Assigned'!B6</f>
        <v>0</v>
      </c>
      <c r="C42" s="83"/>
      <c r="D42" s="89"/>
      <c r="E42" s="83"/>
      <c r="F42" s="83"/>
      <c r="G42" s="83"/>
      <c r="L42" s="131">
        <v>0</v>
      </c>
      <c r="M42" s="132">
        <v>0</v>
      </c>
      <c r="N42" s="130">
        <f t="shared" ref="N42:N45" si="12">+L42+M42</f>
        <v>0</v>
      </c>
      <c r="O42" s="142">
        <f t="shared" si="11"/>
        <v>0</v>
      </c>
    </row>
    <row r="43" spans="1:15" ht="15.6">
      <c r="A43" s="85" t="s">
        <v>30</v>
      </c>
      <c r="B43" s="84">
        <f>'GL 884 Assigned'!B5</f>
        <v>0</v>
      </c>
      <c r="C43" s="83"/>
      <c r="D43" s="89"/>
      <c r="E43" s="83"/>
      <c r="F43" s="83"/>
      <c r="G43" s="83"/>
      <c r="L43" s="131">
        <v>0</v>
      </c>
      <c r="M43" s="132">
        <v>0</v>
      </c>
      <c r="N43" s="130">
        <f t="shared" si="12"/>
        <v>0</v>
      </c>
      <c r="O43" s="142">
        <f t="shared" si="11"/>
        <v>0</v>
      </c>
    </row>
    <row r="44" spans="1:15" ht="15.6">
      <c r="A44" s="85" t="s">
        <v>31</v>
      </c>
      <c r="B44" s="84">
        <f>'GL 888 Assigned'!B5</f>
        <v>0</v>
      </c>
      <c r="C44" s="83"/>
      <c r="D44" s="89"/>
      <c r="E44" s="83"/>
      <c r="F44" s="83"/>
      <c r="G44" s="83"/>
      <c r="L44" s="131">
        <v>0</v>
      </c>
      <c r="M44" s="132">
        <v>0</v>
      </c>
      <c r="N44" s="130">
        <f t="shared" si="12"/>
        <v>0</v>
      </c>
      <c r="O44" s="142">
        <f t="shared" si="11"/>
        <v>0</v>
      </c>
    </row>
    <row r="45" spans="1:15" ht="15.6">
      <c r="A45" s="96" t="s">
        <v>32</v>
      </c>
      <c r="B45" s="86"/>
      <c r="C45" s="97"/>
      <c r="D45" s="98">
        <v>0</v>
      </c>
      <c r="E45" s="91">
        <f>IF(E7-E9-E13-E34&gt;=0,E7-E9-E13-E34,0)</f>
        <v>0</v>
      </c>
      <c r="F45" s="80"/>
      <c r="G45" s="87">
        <f>IF(G7-G9-G13-G34&gt;=0,G7-G9-G13-G34,0)</f>
        <v>0</v>
      </c>
      <c r="L45" s="131">
        <v>0</v>
      </c>
      <c r="M45" s="132">
        <v>0</v>
      </c>
      <c r="N45" s="130">
        <f t="shared" si="12"/>
        <v>0</v>
      </c>
      <c r="O45" s="142">
        <f t="shared" si="11"/>
        <v>0</v>
      </c>
    </row>
    <row r="46" spans="1:15" ht="15.6">
      <c r="A46" s="80"/>
      <c r="B46" s="83"/>
      <c r="C46" s="83"/>
      <c r="D46" s="83"/>
      <c r="E46" s="83"/>
      <c r="F46" s="83"/>
      <c r="G46" s="83"/>
      <c r="L46" s="123"/>
      <c r="M46" s="124"/>
      <c r="N46" s="124"/>
      <c r="O46" s="125"/>
    </row>
    <row r="47" spans="1:15" ht="15.6">
      <c r="A47" s="80" t="s">
        <v>33</v>
      </c>
      <c r="B47" s="99">
        <f>+B48+B49</f>
        <v>-1794832.2439999999</v>
      </c>
      <c r="L47" s="128">
        <f t="shared" ref="L47:N47" si="13">+L48+L49</f>
        <v>0</v>
      </c>
      <c r="M47" s="129">
        <f t="shared" si="13"/>
        <v>0</v>
      </c>
      <c r="N47" s="130">
        <f t="shared" si="13"/>
        <v>0</v>
      </c>
      <c r="O47" s="142">
        <f t="shared" ref="O47:O49" si="14">+B47-N47</f>
        <v>-1794832.2439999999</v>
      </c>
    </row>
    <row r="48" spans="1:15" ht="15.6">
      <c r="A48" s="88" t="s">
        <v>34</v>
      </c>
      <c r="B48" s="100">
        <f>B7-B9-B13-B34-B41-B49</f>
        <v>-1794832.2439999999</v>
      </c>
      <c r="C48" s="99">
        <f>IF(C7-C9-C13-C34&gt;=0,0,C7-C9-C13-C34)</f>
        <v>0</v>
      </c>
      <c r="D48" s="99">
        <f>IF(D7-D9-D13-D34&gt;=0,0,D7-D9-D13-D34)</f>
        <v>0</v>
      </c>
      <c r="E48" s="99">
        <f>IF(E7-E9-E13-E34&gt;=0,0,E7-E9-E13-E34)</f>
        <v>0</v>
      </c>
      <c r="F48" s="99">
        <f>IF(F7-F9-F13-F34&gt;=0,0,F7-F9-F13-F34)</f>
        <v>0</v>
      </c>
      <c r="G48" s="99">
        <f>IF(G7-G9-G13-G34&gt;=0,0,G7-G9-G13-G34)</f>
        <v>0</v>
      </c>
      <c r="L48" s="131">
        <v>0</v>
      </c>
      <c r="M48" s="132">
        <v>0</v>
      </c>
      <c r="N48" s="130">
        <f t="shared" ref="N48:N49" si="15">+L48+M48</f>
        <v>0</v>
      </c>
      <c r="O48" s="142">
        <f t="shared" si="14"/>
        <v>-1794832.2439999999</v>
      </c>
    </row>
    <row r="49" spans="1:15" ht="15.6">
      <c r="A49" s="92" t="s">
        <v>1181</v>
      </c>
      <c r="B49" s="101">
        <f>'GL 891 Unassigned MFBP'!B28</f>
        <v>0</v>
      </c>
      <c r="C49" s="80"/>
      <c r="D49" s="80"/>
      <c r="E49" s="80"/>
      <c r="F49" s="80"/>
      <c r="G49" s="80"/>
      <c r="L49" s="131">
        <v>0</v>
      </c>
      <c r="M49" s="132">
        <v>0</v>
      </c>
      <c r="N49" s="130">
        <f t="shared" si="15"/>
        <v>0</v>
      </c>
      <c r="O49" s="142">
        <f t="shared" si="14"/>
        <v>0</v>
      </c>
    </row>
    <row r="50" spans="1:15" ht="15.6">
      <c r="A50" s="80"/>
      <c r="B50" s="80"/>
      <c r="C50" s="80"/>
      <c r="D50" s="80"/>
      <c r="E50" s="80"/>
      <c r="F50" s="80"/>
      <c r="G50" s="80"/>
      <c r="L50" s="123"/>
      <c r="M50" s="124"/>
      <c r="N50" s="124"/>
      <c r="O50" s="125"/>
    </row>
    <row r="51" spans="1:15" ht="15.6">
      <c r="A51" s="80" t="s">
        <v>35</v>
      </c>
      <c r="B51" s="80"/>
      <c r="C51" s="80"/>
      <c r="D51" s="80"/>
      <c r="E51" s="80"/>
      <c r="F51" s="80"/>
      <c r="G51" s="80"/>
      <c r="L51" s="123"/>
      <c r="M51" s="124"/>
      <c r="N51" s="124"/>
      <c r="O51" s="125"/>
    </row>
    <row r="52" spans="1:15" ht="15.6">
      <c r="A52" s="80" t="s">
        <v>2</v>
      </c>
      <c r="B52" s="102">
        <f t="shared" ref="B52:G52" si="16">B9</f>
        <v>0</v>
      </c>
      <c r="C52" s="102">
        <f t="shared" si="16"/>
        <v>0</v>
      </c>
      <c r="D52" s="102">
        <f t="shared" si="16"/>
        <v>0</v>
      </c>
      <c r="E52" s="102">
        <f t="shared" si="16"/>
        <v>0</v>
      </c>
      <c r="F52" s="102">
        <f t="shared" si="16"/>
        <v>0</v>
      </c>
      <c r="G52" s="102">
        <f t="shared" si="16"/>
        <v>0</v>
      </c>
      <c r="L52" s="128">
        <f t="shared" ref="L52:N52" si="17">L9</f>
        <v>0</v>
      </c>
      <c r="M52" s="129">
        <f t="shared" si="17"/>
        <v>0</v>
      </c>
      <c r="N52" s="130">
        <f t="shared" si="17"/>
        <v>0</v>
      </c>
      <c r="O52" s="142">
        <f t="shared" ref="O52:O57" si="18">+B52-N52</f>
        <v>0</v>
      </c>
    </row>
    <row r="53" spans="1:15" ht="15.6">
      <c r="A53" s="80" t="s">
        <v>11</v>
      </c>
      <c r="B53" s="102">
        <f t="shared" ref="B53:G53" si="19">B13</f>
        <v>1794832.2439999999</v>
      </c>
      <c r="C53" s="102">
        <f t="shared" si="19"/>
        <v>0</v>
      </c>
      <c r="D53" s="102">
        <f t="shared" si="19"/>
        <v>0</v>
      </c>
      <c r="E53" s="102">
        <f t="shared" si="19"/>
        <v>0</v>
      </c>
      <c r="F53" s="102">
        <f t="shared" si="19"/>
        <v>0</v>
      </c>
      <c r="G53" s="102">
        <f t="shared" si="19"/>
        <v>0</v>
      </c>
      <c r="L53" s="128">
        <f t="shared" ref="L53:N53" si="20">L13</f>
        <v>0</v>
      </c>
      <c r="M53" s="129">
        <f t="shared" si="20"/>
        <v>0</v>
      </c>
      <c r="N53" s="130">
        <f t="shared" si="20"/>
        <v>0</v>
      </c>
      <c r="O53" s="142">
        <f t="shared" si="18"/>
        <v>1794832.2439999999</v>
      </c>
    </row>
    <row r="54" spans="1:15" ht="15.6">
      <c r="A54" s="80" t="s">
        <v>26</v>
      </c>
      <c r="B54" s="102">
        <f>B34</f>
        <v>0</v>
      </c>
      <c r="C54" s="102">
        <f>C34</f>
        <v>0</v>
      </c>
      <c r="D54" s="102">
        <f>D34</f>
        <v>0</v>
      </c>
      <c r="E54" s="102">
        <f t="shared" ref="E54:G54" si="21">E34</f>
        <v>0</v>
      </c>
      <c r="F54" s="102">
        <f t="shared" si="21"/>
        <v>0</v>
      </c>
      <c r="G54" s="102">
        <f t="shared" si="21"/>
        <v>0</v>
      </c>
      <c r="L54" s="128">
        <f t="shared" ref="L54:N54" si="22">L34</f>
        <v>0</v>
      </c>
      <c r="M54" s="129">
        <f t="shared" si="22"/>
        <v>0</v>
      </c>
      <c r="N54" s="130">
        <f t="shared" si="22"/>
        <v>0</v>
      </c>
      <c r="O54" s="142">
        <f t="shared" si="18"/>
        <v>0</v>
      </c>
    </row>
    <row r="55" spans="1:15" ht="15.6">
      <c r="A55" s="80" t="s">
        <v>28</v>
      </c>
      <c r="B55" s="99">
        <f>IF(SUM(B52:B54)&gt;B7,0,MIN(B7-SUM(B52:B54),B41))</f>
        <v>0</v>
      </c>
      <c r="C55" s="99">
        <f>IF(SUM(C52:C54)&gt;C7,0,C7-SUM(C52:C54))</f>
        <v>0</v>
      </c>
      <c r="D55" s="99">
        <f>IF(SUM(D52:D54)&gt;D7,0,D7-SUM(D52:D54))</f>
        <v>0</v>
      </c>
      <c r="E55" s="99">
        <f>IF(SUM(E52:E54)&gt;E7,0,E7-SUM(E52:E54))</f>
        <v>0</v>
      </c>
      <c r="F55" s="99">
        <f>IF(SUM(F52:F54)&gt;F7,0,F7-SUM(F52:F54))</f>
        <v>0</v>
      </c>
      <c r="G55" s="99">
        <f>IF(SUM(G52:G54)&gt;G7,0,G7-SUM(G52:G54))</f>
        <v>0</v>
      </c>
      <c r="L55" s="128">
        <f>L41</f>
        <v>0</v>
      </c>
      <c r="M55" s="129">
        <f>M41</f>
        <v>0</v>
      </c>
      <c r="N55" s="130">
        <f>N41</f>
        <v>0</v>
      </c>
      <c r="O55" s="142">
        <f t="shared" si="18"/>
        <v>0</v>
      </c>
    </row>
    <row r="56" spans="1:15" ht="15.6">
      <c r="A56" s="80" t="s">
        <v>33</v>
      </c>
      <c r="B56" s="99">
        <f>B7-SUM(B52:B55)</f>
        <v>-1794832.2439999999</v>
      </c>
      <c r="C56" s="99">
        <f>IF(SUM(C52:C54)&gt;C7,C7-SUM(C52:C54),0)</f>
        <v>0</v>
      </c>
      <c r="D56" s="99">
        <f>IF(SUM(D52:D54)&gt;D7,D7-SUM(D52:D54),0)</f>
        <v>0</v>
      </c>
      <c r="E56" s="99">
        <f>IF(SUM(E52:E54)&gt;E7,E7-SUM(E52:E54),0)</f>
        <v>0</v>
      </c>
      <c r="F56" s="99">
        <f>IF(SUM(F52:F54)&gt;F7,F7-SUM(F52:F54),0)</f>
        <v>0</v>
      </c>
      <c r="G56" s="99">
        <f>IF(SUM(G52:G54)&gt;G7,G7-SUM(G52:G54),0)</f>
        <v>0</v>
      </c>
      <c r="L56" s="128">
        <f>L47</f>
        <v>0</v>
      </c>
      <c r="M56" s="129">
        <f>M47</f>
        <v>0</v>
      </c>
      <c r="N56" s="130">
        <f>N47</f>
        <v>0</v>
      </c>
      <c r="O56" s="142">
        <f t="shared" si="18"/>
        <v>-1794832.2439999999</v>
      </c>
    </row>
    <row r="57" spans="1:15" ht="16.2" thickBot="1">
      <c r="A57" s="80" t="s">
        <v>1</v>
      </c>
      <c r="B57" s="101">
        <f>SUM(B52:B56)</f>
        <v>0</v>
      </c>
      <c r="C57" s="101">
        <f>SUM(C52:C56)</f>
        <v>0</v>
      </c>
      <c r="D57" s="101">
        <f>SUM(D52:D56)</f>
        <v>0</v>
      </c>
      <c r="E57" s="101">
        <f t="shared" ref="E57:G57" si="23">SUM(E52:E56)</f>
        <v>0</v>
      </c>
      <c r="F57" s="101">
        <f t="shared" si="23"/>
        <v>0</v>
      </c>
      <c r="G57" s="101">
        <f t="shared" si="23"/>
        <v>0</v>
      </c>
      <c r="L57" s="133">
        <f t="shared" ref="L57:N57" si="24">SUM(L52:L56)</f>
        <v>0</v>
      </c>
      <c r="M57" s="134">
        <f t="shared" si="24"/>
        <v>0</v>
      </c>
      <c r="N57" s="135">
        <f t="shared" si="24"/>
        <v>0</v>
      </c>
      <c r="O57" s="143">
        <f t="shared" si="18"/>
        <v>0</v>
      </c>
    </row>
    <row r="58" spans="1:15" ht="15.6">
      <c r="A58" s="80"/>
      <c r="B58" s="80"/>
      <c r="C58" s="80"/>
      <c r="D58" s="80"/>
      <c r="E58" s="80"/>
      <c r="F58" s="80"/>
      <c r="G58" s="80"/>
    </row>
    <row r="59" spans="1:15" ht="15.6">
      <c r="A59" s="80"/>
      <c r="B59" s="80"/>
      <c r="C59" s="80"/>
      <c r="D59" s="80"/>
      <c r="E59" s="80"/>
      <c r="F59" s="80"/>
      <c r="G59" s="80"/>
    </row>
    <row r="60" spans="1:15">
      <c r="A60" s="116" t="s">
        <v>1507</v>
      </c>
    </row>
  </sheetData>
  <mergeCells count="6">
    <mergeCell ref="R6:S23"/>
    <mergeCell ref="A2:B2"/>
    <mergeCell ref="L3:M3"/>
    <mergeCell ref="L1:O1"/>
    <mergeCell ref="L2:O2"/>
    <mergeCell ref="O3:O4"/>
  </mergeCells>
  <hyperlinks>
    <hyperlink ref="A14" location="'GL 810 Restricted'!A1" display="GL 810 Other Items" xr:uid="{00000000-0004-0000-0200-000000000000}"/>
    <hyperlink ref="A15" location="'GL 815 Restricted'!A1" display="GL 815 Unequalized Deductible Revenues" xr:uid="{00000000-0004-0000-0200-000001000000}"/>
    <hyperlink ref="A17" location="'GL 821 Restricted'!A1" display="GL 821 Carryover of Restricted Revenues" xr:uid="{00000000-0004-0000-0200-000002000000}"/>
    <hyperlink ref="A10" location="'GL 840 Nonspendable'!A1" display="GL 840 Inventory &amp; Prepaid Items" xr:uid="{00000000-0004-0000-0200-000004000000}"/>
    <hyperlink ref="A21" location="'GL 830 Restricted'!A1" display="GL 830 Debt Service" xr:uid="{00000000-0004-0000-0200-000005000000}"/>
    <hyperlink ref="A22" location="'GL 835 Restricted'!A1" display="GL 835 Arbitrage Rebate" xr:uid="{00000000-0004-0000-0200-000006000000}"/>
    <hyperlink ref="A25" location="'GL 861 CPF Restricted'!A1" display="GL 861 Bond Proceeds" xr:uid="{00000000-0004-0000-0200-000007000000}"/>
    <hyperlink ref="A35" location="'GL 862 CPF Restricted'!A1" display="GL 862 Levy Proceeds" xr:uid="{00000000-0004-0000-0200-000008000000}"/>
    <hyperlink ref="A26" location="'GL 863 CPF Restricted'!A1" display="GL 863 State Proceeds" xr:uid="{00000000-0004-0000-0200-000009000000}"/>
    <hyperlink ref="A27" location="'GL 864 CPF Restricted'!A1" display="GL 864 Federal Proceeds" xr:uid="{00000000-0004-0000-0200-00000A000000}"/>
    <hyperlink ref="A28" location="'GL 865 CPF Restricted'!A1" display="GL 865 Other Proceeds" xr:uid="{00000000-0004-0000-0200-00000B000000}"/>
    <hyperlink ref="A29" location="'GL 866 CPF Restricted'!A1" display="GL 866 Impact Fee Proceeds" xr:uid="{00000000-0004-0000-0200-00000C000000}"/>
    <hyperlink ref="A30" location="'GL 867 CPF Restricted'!A1" display="GL 867 Mitigation Fee Proceeds" xr:uid="{00000000-0004-0000-0200-00000D000000}"/>
    <hyperlink ref="A32" location="'GL 869 CPF Restricted'!A1" display="GL 869 Undistributed Proceeds" xr:uid="{00000000-0004-0000-0200-00000E000000}"/>
    <hyperlink ref="A36" location="'GL 870 Committed'!A1" display="GL 870 Other Purposes" xr:uid="{00000000-0004-0000-0200-00000F000000}"/>
    <hyperlink ref="A11" location="'GL 855 Nonspendable'!A1" display="GL 855 Trust Principal" xr:uid="{00000000-0004-0000-0200-000010000000}"/>
    <hyperlink ref="A42" location="'GL 875 Assigned'!A1" display="GL 875 Contingencies" xr:uid="{00000000-0004-0000-0200-000011000000}"/>
    <hyperlink ref="A43" location="'GL 884 Assigned'!A1" display="GL 884 Other Capital Projects" xr:uid="{00000000-0004-0000-0200-000012000000}"/>
    <hyperlink ref="A44" location="'GL 888 Assigned'!A1" display="GL 888 Other Purposes" xr:uid="{00000000-0004-0000-0200-000013000000}"/>
    <hyperlink ref="A23" location="'GL 845 Restricted'!A1" display="GL 845 Self-Insurance" xr:uid="{00000000-0004-0000-0200-000014000000}"/>
    <hyperlink ref="A24" location="'GL 850 Restricted'!A1" display="GL 850 Uninsured Risks" xr:uid="{00000000-0004-0000-0200-000015000000}"/>
    <hyperlink ref="A20" location="'GL 828 Restricted'!A1" display="GL 828 Food Service Program Revenue Carryover" xr:uid="{00000000-0004-0000-0200-000016000000}"/>
    <hyperlink ref="A19" location="'GL 825 Restricted'!A1" display="GL 825 Restricted for Skills Centers" xr:uid="{00000000-0004-0000-0200-000017000000}"/>
    <hyperlink ref="A49" location="'GL 891 Unassigned MFBP'!A1" display="GL 891 Unassigned MFBP" xr:uid="{00000000-0004-0000-0200-000018000000}"/>
    <hyperlink ref="A38" location="'GL 873 Committed'!A1" display="GL 873 Depreciation Sub-Fund Facility Maintenance " xr:uid="{00000000-0004-0000-0200-000003000000}"/>
    <hyperlink ref="A37" location="'GL 872 Committed'!A1" display="GL 872 Minimum Fund Balance Policy" xr:uid="{DE56D57F-5AEC-45BA-AA5C-990E0DF11629}"/>
    <hyperlink ref="A18" location="'GL 823 Restricted'!A1" display="GL 823 Restricted for Transition to Kindergarten" xr:uid="{07844FC3-2247-44FF-9333-88C2FCB4EB60}"/>
    <hyperlink ref="A31" location="'GL 868 CPF Restricted'!A1" display="GL 868 CTE Major Projects" xr:uid="{0F08D0DD-D5A2-4EC9-9FE6-20C5A769D644}"/>
  </hyperlinks>
  <pageMargins left="0.45" right="0.2" top="0.5" bottom="0.5" header="0.3" footer="0.3"/>
  <pageSetup scale="57" orientation="landscape" cellComments="asDisplayed"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CCDDD!$Q$2:$Q$331</xm:f>
          </x14:formula1>
          <xm:sqref>A2:B2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66FF33"/>
  </sheetPr>
  <dimension ref="A1:BG337"/>
  <sheetViews>
    <sheetView zoomScaleNormal="100" workbookViewId="0">
      <pane xSplit="3" ySplit="6" topLeftCell="AI315" activePane="bottomRight" state="frozen"/>
      <selection pane="topRight" activeCell="C1" sqref="C1"/>
      <selection pane="bottomLeft" activeCell="A8" sqref="A8"/>
      <selection pane="bottomRight" activeCell="AT5" sqref="AT5"/>
    </sheetView>
  </sheetViews>
  <sheetFormatPr defaultColWidth="9.109375" defaultRowHeight="14.4"/>
  <cols>
    <col min="1" max="1" width="16.88671875" style="165" customWidth="1"/>
    <col min="2" max="2" width="6.88671875" style="165" bestFit="1" customWidth="1"/>
    <col min="3" max="3" width="48.77734375" style="165" customWidth="1"/>
    <col min="4" max="6" width="19.77734375" style="165" bestFit="1" customWidth="1"/>
    <col min="7" max="7" width="14.109375" style="165" bestFit="1" customWidth="1"/>
    <col min="8" max="8" width="13.21875" style="165" bestFit="1" customWidth="1"/>
    <col min="9" max="9" width="12.109375" style="165" bestFit="1" customWidth="1"/>
    <col min="10" max="10" width="14.5546875" style="165" bestFit="1" customWidth="1"/>
    <col min="11" max="11" width="13.21875" style="165" bestFit="1" customWidth="1"/>
    <col min="12" max="12" width="12.109375" style="165" bestFit="1" customWidth="1"/>
    <col min="13" max="13" width="21.33203125" style="165" bestFit="1" customWidth="1"/>
    <col min="14" max="14" width="13.44140625" style="165" bestFit="1" customWidth="1"/>
    <col min="15" max="15" width="7.77734375" style="165" bestFit="1" customWidth="1"/>
    <col min="16" max="16" width="10.5546875" style="165" bestFit="1" customWidth="1"/>
    <col min="17" max="17" width="14.21875" style="165" bestFit="1" customWidth="1"/>
    <col min="18" max="18" width="11.88671875" style="165" bestFit="1" customWidth="1"/>
    <col min="19" max="19" width="12.109375" style="165" bestFit="1" customWidth="1"/>
    <col min="20" max="21" width="14.21875" style="165" bestFit="1" customWidth="1"/>
    <col min="22" max="22" width="12.109375" style="165" bestFit="1" customWidth="1"/>
    <col min="23" max="23" width="14.21875" style="165" bestFit="1" customWidth="1"/>
    <col min="24" max="24" width="11.88671875" style="165" bestFit="1" customWidth="1"/>
    <col min="25" max="25" width="9.5546875" style="165" bestFit="1" customWidth="1"/>
    <col min="26" max="26" width="10.5546875" style="165" bestFit="1" customWidth="1"/>
    <col min="27" max="28" width="12.109375" style="165" bestFit="1" customWidth="1"/>
    <col min="29" max="29" width="13.21875" style="165" bestFit="1" customWidth="1"/>
    <col min="30" max="30" width="8.5546875" style="165" bestFit="1" customWidth="1"/>
    <col min="31" max="31" width="13.21875" style="165" bestFit="1" customWidth="1"/>
    <col min="32" max="33" width="10.109375" style="165" bestFit="1" customWidth="1"/>
    <col min="34" max="34" width="10.6640625" style="165" bestFit="1" customWidth="1"/>
    <col min="35" max="35" width="7.33203125" style="165" bestFit="1" customWidth="1"/>
    <col min="36" max="36" width="12.109375" style="165" bestFit="1" customWidth="1"/>
    <col min="37" max="38" width="10.109375" style="165" bestFit="1" customWidth="1"/>
    <col min="39" max="39" width="8.5546875" style="165" bestFit="1" customWidth="1"/>
    <col min="40" max="41" width="10.77734375" style="165" bestFit="1" customWidth="1"/>
    <col min="42" max="42" width="7.21875" style="165" bestFit="1" customWidth="1"/>
    <col min="43" max="43" width="11.77734375" style="165" bestFit="1" customWidth="1"/>
    <col min="44" max="44" width="12.21875" style="165" bestFit="1" customWidth="1"/>
    <col min="45" max="45" width="11.5546875" style="165" bestFit="1" customWidth="1"/>
    <col min="46" max="49" width="9.109375" style="165"/>
    <col min="50" max="50" width="4" style="165" bestFit="1" customWidth="1"/>
    <col min="51" max="51" width="6.88671875" style="165" bestFit="1" customWidth="1"/>
    <col min="52" max="52" width="34.88671875" style="165" bestFit="1" customWidth="1"/>
    <col min="53" max="57" width="9.109375" style="165"/>
    <col min="58" max="58" width="13.88671875" style="165" bestFit="1" customWidth="1"/>
    <col min="59" max="59" width="14.88671875" style="165" bestFit="1" customWidth="1"/>
    <col min="60" max="16384" width="9.109375" style="165"/>
  </cols>
  <sheetData>
    <row r="1" spans="1:59" ht="18">
      <c r="A1" s="603"/>
      <c r="B1" s="603">
        <v>1</v>
      </c>
      <c r="C1" s="603">
        <v>2</v>
      </c>
      <c r="D1" s="603">
        <v>3</v>
      </c>
      <c r="E1" s="603">
        <v>4</v>
      </c>
      <c r="F1" s="603">
        <v>5</v>
      </c>
      <c r="G1" s="603">
        <v>6</v>
      </c>
      <c r="H1" s="603">
        <v>7</v>
      </c>
      <c r="I1" s="603">
        <v>8</v>
      </c>
      <c r="J1" s="603">
        <v>9</v>
      </c>
      <c r="K1" s="603">
        <v>10</v>
      </c>
      <c r="L1" s="603">
        <v>11</v>
      </c>
      <c r="M1" s="603">
        <v>12</v>
      </c>
      <c r="N1" s="603">
        <v>13</v>
      </c>
      <c r="O1" s="603">
        <v>14</v>
      </c>
      <c r="P1" s="603">
        <v>15</v>
      </c>
      <c r="Q1" s="603">
        <v>16</v>
      </c>
      <c r="R1" s="603">
        <v>17</v>
      </c>
      <c r="S1" s="603">
        <v>18</v>
      </c>
      <c r="T1" s="603">
        <v>19</v>
      </c>
      <c r="U1" s="603">
        <v>20</v>
      </c>
      <c r="V1" s="603">
        <v>21</v>
      </c>
      <c r="W1" s="603">
        <v>22</v>
      </c>
      <c r="X1" s="603">
        <v>23</v>
      </c>
      <c r="Y1" s="603">
        <v>24</v>
      </c>
      <c r="Z1" s="603">
        <v>25</v>
      </c>
      <c r="AA1" s="603">
        <v>26</v>
      </c>
      <c r="AB1" s="603">
        <v>27</v>
      </c>
      <c r="AC1" s="603">
        <v>28</v>
      </c>
      <c r="AD1" s="603">
        <v>29</v>
      </c>
      <c r="AE1" s="603">
        <v>30</v>
      </c>
      <c r="AF1" s="604">
        <v>31</v>
      </c>
      <c r="AG1" s="604">
        <v>32</v>
      </c>
      <c r="AH1" s="604">
        <v>33</v>
      </c>
      <c r="AI1" s="603">
        <v>34</v>
      </c>
      <c r="AJ1" s="603">
        <v>35</v>
      </c>
      <c r="AK1" s="604">
        <v>36</v>
      </c>
      <c r="AL1" s="604">
        <v>37</v>
      </c>
      <c r="AM1" s="604">
        <v>38</v>
      </c>
      <c r="AN1" s="603">
        <v>39</v>
      </c>
      <c r="AO1" s="603">
        <v>40</v>
      </c>
      <c r="AP1" s="605">
        <v>41</v>
      </c>
      <c r="AQ1" s="602">
        <v>42</v>
      </c>
      <c r="AR1" s="602">
        <v>43</v>
      </c>
    </row>
    <row r="2" spans="1:59">
      <c r="A2" s="73"/>
      <c r="B2" s="271"/>
      <c r="C2" s="271"/>
      <c r="D2" s="272"/>
      <c r="E2" s="272"/>
      <c r="F2" s="272"/>
      <c r="G2" s="272"/>
      <c r="H2" s="272"/>
      <c r="I2" s="272"/>
      <c r="J2" s="272"/>
      <c r="K2" s="272"/>
      <c r="L2" s="272"/>
      <c r="M2" s="272"/>
      <c r="N2" s="422" t="s">
        <v>2647</v>
      </c>
      <c r="O2" s="422"/>
      <c r="P2" s="272"/>
      <c r="Q2" s="272"/>
      <c r="R2" s="272"/>
      <c r="S2" s="474" t="s">
        <v>2648</v>
      </c>
      <c r="T2" s="474" t="s">
        <v>2649</v>
      </c>
      <c r="U2" s="474" t="s">
        <v>2650</v>
      </c>
      <c r="V2" s="272"/>
      <c r="W2" s="272"/>
      <c r="X2" s="272"/>
      <c r="Y2" s="272"/>
      <c r="Z2" s="272"/>
      <c r="AA2" s="272"/>
      <c r="AB2" s="272"/>
      <c r="AC2" s="272"/>
      <c r="AD2" s="272"/>
      <c r="AE2" s="272"/>
      <c r="AF2" s="601"/>
      <c r="AG2" s="601"/>
      <c r="AH2" s="601"/>
      <c r="AI2" s="272"/>
      <c r="AJ2" s="272"/>
      <c r="AK2" s="601"/>
      <c r="AL2" s="601"/>
      <c r="AM2" s="601"/>
      <c r="AN2" s="272"/>
      <c r="AO2" s="272"/>
      <c r="AP2" s="166"/>
      <c r="AQ2" s="176" t="s">
        <v>1569</v>
      </c>
      <c r="AR2" s="176" t="s">
        <v>1569</v>
      </c>
    </row>
    <row r="3" spans="1:59">
      <c r="A3" s="73" t="s">
        <v>2651</v>
      </c>
      <c r="B3" s="73"/>
      <c r="C3" s="73"/>
      <c r="D3" s="606" t="s">
        <v>1165</v>
      </c>
      <c r="E3" s="606" t="s">
        <v>2635</v>
      </c>
      <c r="F3" s="606" t="s">
        <v>2636</v>
      </c>
      <c r="G3" s="606" t="s">
        <v>1144</v>
      </c>
      <c r="H3" s="606" t="s">
        <v>1154</v>
      </c>
      <c r="I3" s="606" t="s">
        <v>2637</v>
      </c>
      <c r="J3" s="606" t="s">
        <v>1145</v>
      </c>
      <c r="K3" s="606" t="s">
        <v>1146</v>
      </c>
      <c r="L3" s="606" t="s">
        <v>1147</v>
      </c>
      <c r="M3" s="606" t="s">
        <v>1645</v>
      </c>
      <c r="N3" s="606" t="s">
        <v>1148</v>
      </c>
      <c r="O3" s="606" t="s">
        <v>1149</v>
      </c>
      <c r="P3" s="606" t="s">
        <v>2638</v>
      </c>
      <c r="Q3" s="606" t="s">
        <v>2639</v>
      </c>
      <c r="R3" s="606" t="s">
        <v>2640</v>
      </c>
      <c r="S3" s="474" t="s">
        <v>2641</v>
      </c>
      <c r="T3" s="474" t="s">
        <v>2642</v>
      </c>
      <c r="U3" s="474" t="s">
        <v>2643</v>
      </c>
      <c r="V3" s="606" t="s">
        <v>2644</v>
      </c>
      <c r="W3" s="606" t="s">
        <v>2645</v>
      </c>
      <c r="X3" s="606" t="s">
        <v>2646</v>
      </c>
      <c r="Y3" s="606" t="s">
        <v>1151</v>
      </c>
      <c r="Z3" s="606" t="s">
        <v>1156</v>
      </c>
      <c r="AA3" s="606" t="s">
        <v>1152</v>
      </c>
      <c r="AB3" s="606" t="s">
        <v>1153</v>
      </c>
      <c r="AC3" s="606" t="s">
        <v>1150</v>
      </c>
      <c r="AD3" s="606" t="s">
        <v>1155</v>
      </c>
      <c r="AE3" s="606" t="s">
        <v>1557</v>
      </c>
      <c r="AF3" s="148"/>
      <c r="AG3" s="148"/>
      <c r="AH3" s="148"/>
      <c r="AI3" s="606" t="s">
        <v>1157</v>
      </c>
      <c r="AJ3" s="606" t="s">
        <v>1564</v>
      </c>
      <c r="AK3" s="148"/>
      <c r="AL3" s="148"/>
      <c r="AM3" s="148"/>
      <c r="AN3" s="606" t="s">
        <v>1158</v>
      </c>
      <c r="AO3" s="606" t="s">
        <v>1159</v>
      </c>
      <c r="AP3" s="74"/>
      <c r="AQ3" s="719"/>
      <c r="AR3" s="176"/>
    </row>
    <row r="4" spans="1:59" ht="30" customHeight="1">
      <c r="A4" s="73">
        <f>COUNTA(DISNAME)</f>
        <v>330</v>
      </c>
      <c r="B4" s="73"/>
      <c r="C4" s="73"/>
      <c r="D4" s="376" t="s">
        <v>1166</v>
      </c>
      <c r="E4" s="376" t="s">
        <v>1167</v>
      </c>
      <c r="F4" s="376" t="s">
        <v>1167</v>
      </c>
      <c r="G4" s="383" t="s">
        <v>1162</v>
      </c>
      <c r="H4" s="383" t="s">
        <v>1154</v>
      </c>
      <c r="I4" s="383" t="s">
        <v>1498</v>
      </c>
      <c r="J4" s="383" t="s">
        <v>1499</v>
      </c>
      <c r="K4" s="383" t="s">
        <v>1163</v>
      </c>
      <c r="L4" s="383" t="s">
        <v>1164</v>
      </c>
      <c r="M4" s="383" t="s">
        <v>1998</v>
      </c>
      <c r="N4" s="376" t="s">
        <v>1511</v>
      </c>
      <c r="O4" s="376" t="s">
        <v>750</v>
      </c>
      <c r="P4" s="376" t="s">
        <v>749</v>
      </c>
      <c r="Q4" s="376" t="s">
        <v>1554</v>
      </c>
      <c r="R4" s="376" t="s">
        <v>751</v>
      </c>
      <c r="S4" s="376" t="s">
        <v>1555</v>
      </c>
      <c r="T4" s="376" t="s">
        <v>1554</v>
      </c>
      <c r="U4" s="376" t="s">
        <v>751</v>
      </c>
      <c r="V4" s="376" t="s">
        <v>752</v>
      </c>
      <c r="W4" s="376" t="s">
        <v>1554</v>
      </c>
      <c r="X4" s="376" t="s">
        <v>751</v>
      </c>
      <c r="Y4" s="376" t="s">
        <v>753</v>
      </c>
      <c r="Z4" s="376" t="s">
        <v>1174</v>
      </c>
      <c r="AA4" s="376" t="s">
        <v>1170</v>
      </c>
      <c r="AB4" s="376" t="s">
        <v>1171</v>
      </c>
      <c r="AC4" s="376" t="s">
        <v>1169</v>
      </c>
      <c r="AD4" s="376" t="s">
        <v>1172</v>
      </c>
      <c r="AE4" s="376" t="s">
        <v>1558</v>
      </c>
      <c r="AF4" s="376" t="s">
        <v>1559</v>
      </c>
      <c r="AG4" s="376" t="s">
        <v>1560</v>
      </c>
      <c r="AH4" s="384" t="s">
        <v>1173</v>
      </c>
      <c r="AI4" s="376" t="s">
        <v>1174</v>
      </c>
      <c r="AJ4" s="376" t="s">
        <v>1565</v>
      </c>
      <c r="AK4" s="376" t="s">
        <v>1559</v>
      </c>
      <c r="AL4" s="376" t="s">
        <v>1560</v>
      </c>
      <c r="AM4" s="384" t="s">
        <v>1174</v>
      </c>
      <c r="AN4" s="376">
        <v>1400</v>
      </c>
      <c r="AO4" s="376">
        <v>5400</v>
      </c>
      <c r="AP4" s="376" t="s">
        <v>1607</v>
      </c>
      <c r="AQ4" s="377" t="s">
        <v>2492</v>
      </c>
      <c r="AR4" s="377" t="s">
        <v>2684</v>
      </c>
    </row>
    <row r="5" spans="1:59" ht="27.6">
      <c r="A5" s="73"/>
      <c r="B5" s="73"/>
      <c r="C5" s="73"/>
      <c r="D5" s="385" t="s">
        <v>1168</v>
      </c>
      <c r="E5" s="385" t="s">
        <v>1521</v>
      </c>
      <c r="F5" s="385" t="s">
        <v>1522</v>
      </c>
      <c r="G5" s="378" t="s">
        <v>744</v>
      </c>
      <c r="H5" s="376">
        <v>3121</v>
      </c>
      <c r="I5" s="378" t="s">
        <v>745</v>
      </c>
      <c r="J5" s="378" t="s">
        <v>745</v>
      </c>
      <c r="K5" s="378" t="s">
        <v>746</v>
      </c>
      <c r="L5" s="378" t="s">
        <v>747</v>
      </c>
      <c r="M5" s="378" t="s">
        <v>748</v>
      </c>
      <c r="N5" s="376" t="s">
        <v>1160</v>
      </c>
      <c r="O5" s="376" t="s">
        <v>1160</v>
      </c>
      <c r="P5" s="376"/>
      <c r="Q5" s="376" t="s">
        <v>743</v>
      </c>
      <c r="R5" s="376" t="s">
        <v>743</v>
      </c>
      <c r="S5" s="376" t="s">
        <v>1175</v>
      </c>
      <c r="T5" s="376" t="s">
        <v>1556</v>
      </c>
      <c r="U5" s="376" t="s">
        <v>1556</v>
      </c>
      <c r="V5" s="376"/>
      <c r="W5" s="376" t="s">
        <v>1571</v>
      </c>
      <c r="X5" s="376" t="s">
        <v>1571</v>
      </c>
      <c r="Y5" s="376" t="s">
        <v>755</v>
      </c>
      <c r="Z5" s="376" t="s">
        <v>742</v>
      </c>
      <c r="AA5" s="376" t="s">
        <v>742</v>
      </c>
      <c r="AB5" s="376" t="s">
        <v>754</v>
      </c>
      <c r="AC5" s="376" t="s">
        <v>754</v>
      </c>
      <c r="AD5" s="378"/>
      <c r="AE5" s="378" t="s">
        <v>1561</v>
      </c>
      <c r="AF5" s="378" t="s">
        <v>1562</v>
      </c>
      <c r="AG5" s="378" t="s">
        <v>1563</v>
      </c>
      <c r="AH5" s="378"/>
      <c r="AI5" s="376" t="s">
        <v>756</v>
      </c>
      <c r="AJ5" s="378" t="s">
        <v>1561</v>
      </c>
      <c r="AK5" s="378" t="s">
        <v>1562</v>
      </c>
      <c r="AL5" s="378" t="s">
        <v>1563</v>
      </c>
      <c r="AM5" s="376" t="s">
        <v>757</v>
      </c>
      <c r="AN5" s="376"/>
      <c r="AO5" s="376"/>
      <c r="AP5" s="378" t="s">
        <v>1603</v>
      </c>
      <c r="AQ5" s="167" t="s">
        <v>64</v>
      </c>
      <c r="AR5" s="167" t="s">
        <v>1566</v>
      </c>
      <c r="BD5" s="165" t="s">
        <v>2676</v>
      </c>
      <c r="BF5" s="167" t="s">
        <v>64</v>
      </c>
      <c r="BG5" s="167" t="s">
        <v>1566</v>
      </c>
    </row>
    <row r="6" spans="1:59">
      <c r="A6" s="273" t="s">
        <v>1999</v>
      </c>
      <c r="B6" s="273" t="s">
        <v>758</v>
      </c>
      <c r="C6" s="273" t="s">
        <v>759</v>
      </c>
      <c r="D6" s="379">
        <f t="shared" ref="D6:M6" si="0">SUM(D7:D336)</f>
        <v>2482542.42</v>
      </c>
      <c r="E6" s="379">
        <f t="shared" si="0"/>
        <v>18891995.620000008</v>
      </c>
      <c r="F6" s="379">
        <f t="shared" si="0"/>
        <v>8457435.6700000018</v>
      </c>
      <c r="G6" s="379">
        <f t="shared" si="0"/>
        <v>2512593971.5799994</v>
      </c>
      <c r="H6" s="379">
        <f t="shared" si="0"/>
        <v>376002986.26999998</v>
      </c>
      <c r="I6" s="379">
        <f t="shared" si="0"/>
        <v>166289732.73999995</v>
      </c>
      <c r="J6" s="379">
        <f t="shared" si="0"/>
        <v>389456387.02999979</v>
      </c>
      <c r="K6" s="379">
        <f t="shared" si="0"/>
        <v>300493560.25000006</v>
      </c>
      <c r="L6" s="379">
        <f t="shared" si="0"/>
        <v>36088116.060000032</v>
      </c>
      <c r="M6" s="379">
        <f t="shared" si="0"/>
        <v>806908382.17000008</v>
      </c>
      <c r="N6" s="423">
        <v>3.5000000000000003E-2</v>
      </c>
      <c r="O6" s="423">
        <v>0.14981409707316898</v>
      </c>
      <c r="P6" s="379">
        <f t="shared" ref="P6:AP6" si="1">SUM(P7:P336)</f>
        <v>181128.88</v>
      </c>
      <c r="Q6" s="379">
        <f t="shared" si="1"/>
        <v>36677.14</v>
      </c>
      <c r="R6" s="379">
        <f t="shared" si="1"/>
        <v>7545.73</v>
      </c>
      <c r="S6" s="379">
        <f t="shared" si="1"/>
        <v>13388974.390000001</v>
      </c>
      <c r="T6" s="379">
        <f t="shared" si="1"/>
        <v>483476.64</v>
      </c>
      <c r="U6" s="379">
        <f t="shared" si="1"/>
        <v>448210.58999999997</v>
      </c>
      <c r="V6" s="379">
        <f t="shared" si="1"/>
        <v>3835025.1900000004</v>
      </c>
      <c r="W6" s="379">
        <f t="shared" si="1"/>
        <v>252479.69</v>
      </c>
      <c r="X6" s="379">
        <f t="shared" si="1"/>
        <v>148396.95000000001</v>
      </c>
      <c r="Y6" s="379">
        <f t="shared" si="1"/>
        <v>649893.4799999994</v>
      </c>
      <c r="Z6" s="379">
        <f t="shared" si="1"/>
        <v>4910397.4800000014</v>
      </c>
      <c r="AA6" s="379">
        <f t="shared" si="1"/>
        <v>25925197.840000011</v>
      </c>
      <c r="AB6" s="379">
        <f t="shared" si="1"/>
        <v>158074451.09999999</v>
      </c>
      <c r="AC6" s="379">
        <f t="shared" si="1"/>
        <v>697627919.51999974</v>
      </c>
      <c r="AD6" s="379">
        <f t="shared" si="1"/>
        <v>63678.239999999976</v>
      </c>
      <c r="AE6" s="379">
        <f t="shared" si="1"/>
        <v>635890385.58999979</v>
      </c>
      <c r="AF6" s="379">
        <f t="shared" si="1"/>
        <v>0</v>
      </c>
      <c r="AG6" s="379">
        <f t="shared" si="1"/>
        <v>0</v>
      </c>
      <c r="AH6" s="379">
        <f t="shared" si="1"/>
        <v>0</v>
      </c>
      <c r="AI6" s="379">
        <f t="shared" si="1"/>
        <v>15206.469999999994</v>
      </c>
      <c r="AJ6" s="379">
        <f t="shared" si="1"/>
        <v>147843173.05999994</v>
      </c>
      <c r="AK6" s="380">
        <f t="shared" si="1"/>
        <v>0</v>
      </c>
      <c r="AL6" s="380">
        <f t="shared" si="1"/>
        <v>0</v>
      </c>
      <c r="AM6" s="381">
        <f t="shared" si="1"/>
        <v>0</v>
      </c>
      <c r="AN6" s="381">
        <f t="shared" si="1"/>
        <v>515479.46999999991</v>
      </c>
      <c r="AO6" s="381">
        <f t="shared" si="1"/>
        <v>751794.27</v>
      </c>
      <c r="AP6" s="382">
        <f t="shared" si="1"/>
        <v>0</v>
      </c>
      <c r="AQ6" s="168">
        <v>24731362.540000014</v>
      </c>
      <c r="AR6" s="168">
        <f>SUM(AR7:AR336)</f>
        <v>125240105.88999997</v>
      </c>
      <c r="AX6"/>
      <c r="AY6" s="300" t="s">
        <v>79</v>
      </c>
      <c r="AZ6" s="281" t="s">
        <v>2652</v>
      </c>
      <c r="BD6" s="73" t="s">
        <v>758</v>
      </c>
      <c r="BE6" s="630"/>
      <c r="BF6" s="168">
        <v>24731362.540000014</v>
      </c>
      <c r="BG6" s="168">
        <v>109384611.04000002</v>
      </c>
    </row>
    <row r="7" spans="1:59">
      <c r="A7" s="139" t="s">
        <v>298</v>
      </c>
      <c r="B7" s="233" t="s">
        <v>297</v>
      </c>
      <c r="C7" s="233" t="str">
        <f t="shared" ref="C7:C33" si="2">CONCATENATE(B7," ",A7," SCHOOL DISTRICT")</f>
        <v>14005 ABERDEEN SCHOOL DISTRICT</v>
      </c>
      <c r="D7" s="607"/>
      <c r="E7" s="607"/>
      <c r="F7" s="607">
        <v>33274.85</v>
      </c>
      <c r="G7" s="607">
        <v>8037347.8899999997</v>
      </c>
      <c r="H7" s="607">
        <v>1291980.6599999999</v>
      </c>
      <c r="I7" s="607">
        <v>985846.72</v>
      </c>
      <c r="J7" s="607">
        <v>1495847.45</v>
      </c>
      <c r="K7" s="607">
        <v>813199.41</v>
      </c>
      <c r="L7" s="607">
        <v>95942.93</v>
      </c>
      <c r="M7" s="607">
        <v>1725148.67</v>
      </c>
      <c r="N7" s="608">
        <v>2.6100000000000002E-2</v>
      </c>
      <c r="O7" s="608">
        <v>0.16259999999999999</v>
      </c>
      <c r="P7" s="607"/>
      <c r="Q7" s="607"/>
      <c r="R7" s="607"/>
      <c r="S7" s="607">
        <v>226761.03</v>
      </c>
      <c r="T7" s="607"/>
      <c r="U7" s="607">
        <v>7257.49</v>
      </c>
      <c r="V7" s="607"/>
      <c r="W7" s="607"/>
      <c r="X7" s="607"/>
      <c r="Y7" s="607">
        <v>2462.2600000000002</v>
      </c>
      <c r="Z7" s="607"/>
      <c r="AA7" s="607"/>
      <c r="AB7" s="607">
        <v>1165452.53</v>
      </c>
      <c r="AC7" s="607">
        <v>2502526.42</v>
      </c>
      <c r="AD7" s="607">
        <v>238.62</v>
      </c>
      <c r="AE7" s="607">
        <v>2247573.6800000002</v>
      </c>
      <c r="AF7" s="148"/>
      <c r="AG7" s="148"/>
      <c r="AH7" s="148"/>
      <c r="AI7" s="607">
        <v>116.49</v>
      </c>
      <c r="AJ7" s="607">
        <v>1076187.6200000001</v>
      </c>
      <c r="AK7" s="148"/>
      <c r="AL7" s="148"/>
      <c r="AM7" s="148"/>
      <c r="AN7" s="607">
        <v>4000</v>
      </c>
      <c r="AO7" s="607"/>
      <c r="AP7" s="148"/>
      <c r="AQ7" s="168">
        <v>0</v>
      </c>
      <c r="AR7" s="238">
        <v>353454.04000000004</v>
      </c>
      <c r="AU7" s="633">
        <f>+B7-AY7</f>
        <v>0</v>
      </c>
      <c r="AV7" s="632"/>
      <c r="AX7" s="66">
        <v>1</v>
      </c>
      <c r="AY7" s="301" t="s">
        <v>297</v>
      </c>
      <c r="AZ7" s="139" t="s">
        <v>298</v>
      </c>
      <c r="BA7" s="633">
        <f>+AY7-BD7</f>
        <v>0</v>
      </c>
      <c r="BC7" s="196">
        <v>1</v>
      </c>
      <c r="BD7" s="73" t="s">
        <v>297</v>
      </c>
      <c r="BE7" s="139" t="s">
        <v>298</v>
      </c>
      <c r="BF7" s="168">
        <v>0</v>
      </c>
      <c r="BG7" s="168">
        <v>291854.15000000002</v>
      </c>
    </row>
    <row r="8" spans="1:59">
      <c r="A8" s="139" t="s">
        <v>425</v>
      </c>
      <c r="B8" s="233" t="s">
        <v>424</v>
      </c>
      <c r="C8" s="233" t="str">
        <f t="shared" si="2"/>
        <v>21226 ADNA SCHOOL DISTRICT</v>
      </c>
      <c r="D8" s="607"/>
      <c r="E8" s="607"/>
      <c r="F8" s="607"/>
      <c r="G8" s="607">
        <v>822207.12</v>
      </c>
      <c r="H8" s="607">
        <v>131333.85999999999</v>
      </c>
      <c r="I8" s="607"/>
      <c r="J8" s="607">
        <v>112809.21</v>
      </c>
      <c r="K8" s="607"/>
      <c r="L8" s="607">
        <v>20915.990000000002</v>
      </c>
      <c r="M8" s="607">
        <v>403150.97</v>
      </c>
      <c r="N8" s="608">
        <v>3.6600000000000001E-2</v>
      </c>
      <c r="O8" s="608">
        <v>0.22559999999999999</v>
      </c>
      <c r="P8" s="607"/>
      <c r="Q8" s="607"/>
      <c r="R8" s="607"/>
      <c r="S8" s="607"/>
      <c r="T8" s="607"/>
      <c r="U8" s="607"/>
      <c r="V8" s="607"/>
      <c r="W8" s="607"/>
      <c r="X8" s="607"/>
      <c r="Y8" s="607">
        <v>530.14</v>
      </c>
      <c r="Z8" s="607"/>
      <c r="AA8" s="607">
        <v>53267.51</v>
      </c>
      <c r="AB8" s="607">
        <v>105118.29</v>
      </c>
      <c r="AC8" s="607">
        <v>534656.26</v>
      </c>
      <c r="AD8" s="607">
        <v>47.69</v>
      </c>
      <c r="AE8" s="607">
        <v>458031.79</v>
      </c>
      <c r="AF8" s="148"/>
      <c r="AG8" s="148"/>
      <c r="AH8" s="148"/>
      <c r="AI8" s="607">
        <v>10.4</v>
      </c>
      <c r="AJ8" s="607">
        <v>97971.24</v>
      </c>
      <c r="AK8" s="148"/>
      <c r="AL8" s="148"/>
      <c r="AM8" s="148"/>
      <c r="AN8" s="607"/>
      <c r="AO8" s="607"/>
      <c r="AP8" s="148"/>
      <c r="AQ8" s="168">
        <v>13368.50999999998</v>
      </c>
      <c r="AR8" s="238">
        <v>67265.140000000014</v>
      </c>
      <c r="AU8" s="633">
        <f t="shared" ref="AU8:AU71" si="3">+B8-AY8</f>
        <v>0</v>
      </c>
      <c r="AX8" s="358">
        <v>2</v>
      </c>
      <c r="AY8" s="301" t="s">
        <v>424</v>
      </c>
      <c r="AZ8" s="139" t="s">
        <v>425</v>
      </c>
      <c r="BA8" s="633">
        <f t="shared" ref="BA8:BA71" si="4">+AY8-BD8</f>
        <v>0</v>
      </c>
      <c r="BC8" s="196">
        <v>2</v>
      </c>
      <c r="BD8" s="73" t="s">
        <v>424</v>
      </c>
      <c r="BE8" s="139" t="s">
        <v>425</v>
      </c>
      <c r="BF8" s="168">
        <v>13368.50999999998</v>
      </c>
      <c r="BG8" s="168">
        <v>60789.170000000006</v>
      </c>
    </row>
    <row r="9" spans="1:59">
      <c r="A9" s="139" t="s">
        <v>447</v>
      </c>
      <c r="B9" s="233" t="s">
        <v>446</v>
      </c>
      <c r="C9" s="233" t="str">
        <f t="shared" si="2"/>
        <v>22017 ALMIRA SCHOOL DISTRICT</v>
      </c>
      <c r="D9" s="607"/>
      <c r="E9" s="607"/>
      <c r="F9" s="607"/>
      <c r="G9" s="607">
        <v>150609.57</v>
      </c>
      <c r="H9" s="607">
        <v>22587.74</v>
      </c>
      <c r="I9" s="607"/>
      <c r="J9" s="607">
        <v>32275.73</v>
      </c>
      <c r="K9" s="607"/>
      <c r="L9" s="607">
        <v>3316</v>
      </c>
      <c r="M9" s="607">
        <v>211917.43</v>
      </c>
      <c r="N9" s="608"/>
      <c r="O9" s="608">
        <v>0.33229999999999998</v>
      </c>
      <c r="P9" s="607"/>
      <c r="Q9" s="607"/>
      <c r="R9" s="607"/>
      <c r="S9" s="607"/>
      <c r="T9" s="607"/>
      <c r="U9" s="607"/>
      <c r="V9" s="607"/>
      <c r="W9" s="607"/>
      <c r="X9" s="607"/>
      <c r="Y9" s="607">
        <v>112.26</v>
      </c>
      <c r="Z9" s="607">
        <v>5354.42</v>
      </c>
      <c r="AA9" s="607">
        <v>594.94000000000005</v>
      </c>
      <c r="AB9" s="607">
        <v>9740.43</v>
      </c>
      <c r="AC9" s="607">
        <v>82671.039999999994</v>
      </c>
      <c r="AD9" s="607">
        <v>7.72</v>
      </c>
      <c r="AE9" s="607">
        <v>72681.7</v>
      </c>
      <c r="AF9" s="148"/>
      <c r="AG9" s="148"/>
      <c r="AH9" s="148"/>
      <c r="AI9" s="607">
        <v>0.94</v>
      </c>
      <c r="AJ9" s="607">
        <v>8811.32</v>
      </c>
      <c r="AK9" s="148"/>
      <c r="AL9" s="148"/>
      <c r="AM9" s="148"/>
      <c r="AN9" s="607"/>
      <c r="AO9" s="607"/>
      <c r="AP9" s="148"/>
      <c r="AQ9" s="168">
        <v>63521.249999999993</v>
      </c>
      <c r="AR9" s="238">
        <v>22444.459999999995</v>
      </c>
      <c r="AU9" s="633">
        <f t="shared" si="3"/>
        <v>0</v>
      </c>
      <c r="AX9" s="358">
        <v>3</v>
      </c>
      <c r="AY9" s="301" t="s">
        <v>446</v>
      </c>
      <c r="AZ9" s="139" t="s">
        <v>447</v>
      </c>
      <c r="BA9" s="633">
        <f t="shared" si="4"/>
        <v>0</v>
      </c>
      <c r="BC9" s="196">
        <v>3</v>
      </c>
      <c r="BD9" s="73" t="s">
        <v>446</v>
      </c>
      <c r="BE9" s="139" t="s">
        <v>447</v>
      </c>
      <c r="BF9" s="168">
        <v>63521.249999999993</v>
      </c>
      <c r="BG9" s="168">
        <v>21250.299999999996</v>
      </c>
    </row>
    <row r="10" spans="1:59">
      <c r="A10" s="139" t="s">
        <v>549</v>
      </c>
      <c r="B10" s="233" t="s">
        <v>548</v>
      </c>
      <c r="C10" s="233" t="str">
        <f t="shared" si="2"/>
        <v>29103 ANACORTES SCHOOL DISTRICT</v>
      </c>
      <c r="D10" s="607"/>
      <c r="E10" s="607"/>
      <c r="F10" s="607"/>
      <c r="G10" s="607">
        <v>6032313.4000000004</v>
      </c>
      <c r="H10" s="607">
        <v>906591</v>
      </c>
      <c r="I10" s="607">
        <v>17463.86</v>
      </c>
      <c r="J10" s="607">
        <v>639504.13</v>
      </c>
      <c r="K10" s="607">
        <v>101354.69</v>
      </c>
      <c r="L10" s="607">
        <v>91716.71</v>
      </c>
      <c r="M10" s="607">
        <v>1619277.06</v>
      </c>
      <c r="N10" s="608">
        <v>5.5500000000000001E-2</v>
      </c>
      <c r="O10" s="608">
        <v>0.18279999999999999</v>
      </c>
      <c r="P10" s="607"/>
      <c r="Q10" s="607"/>
      <c r="R10" s="607"/>
      <c r="S10" s="607"/>
      <c r="T10" s="607"/>
      <c r="U10" s="607"/>
      <c r="V10" s="607"/>
      <c r="W10" s="607"/>
      <c r="X10" s="607"/>
      <c r="Y10" s="607">
        <v>2159.91</v>
      </c>
      <c r="Z10" s="607">
        <v>22065.599999999999</v>
      </c>
      <c r="AA10" s="607">
        <v>27408.85</v>
      </c>
      <c r="AB10" s="607">
        <v>350595.69</v>
      </c>
      <c r="AC10" s="607">
        <v>1217848.3799999999</v>
      </c>
      <c r="AD10" s="607">
        <v>106.56</v>
      </c>
      <c r="AE10" s="607">
        <v>1105376.1200000001</v>
      </c>
      <c r="AF10" s="148"/>
      <c r="AG10" s="148"/>
      <c r="AH10" s="148"/>
      <c r="AI10" s="607">
        <v>32.57</v>
      </c>
      <c r="AJ10" s="607">
        <v>332164.28000000003</v>
      </c>
      <c r="AK10" s="148"/>
      <c r="AL10" s="148"/>
      <c r="AM10" s="148"/>
      <c r="AN10" s="607">
        <v>21000</v>
      </c>
      <c r="AO10" s="607"/>
      <c r="AP10" s="148"/>
      <c r="AQ10" s="168">
        <v>0</v>
      </c>
      <c r="AR10" s="238">
        <v>305172.45</v>
      </c>
      <c r="AU10" s="633">
        <f t="shared" si="3"/>
        <v>0</v>
      </c>
      <c r="AX10" s="358">
        <v>4</v>
      </c>
      <c r="AY10" s="301" t="s">
        <v>548</v>
      </c>
      <c r="AZ10" s="139" t="s">
        <v>549</v>
      </c>
      <c r="BA10" s="633">
        <f t="shared" si="4"/>
        <v>0</v>
      </c>
      <c r="BC10" s="196">
        <v>4</v>
      </c>
      <c r="BD10" s="73" t="s">
        <v>548</v>
      </c>
      <c r="BE10" s="139" t="s">
        <v>549</v>
      </c>
      <c r="BF10" s="168">
        <v>0</v>
      </c>
      <c r="BG10" s="168">
        <v>260223.28</v>
      </c>
    </row>
    <row r="11" spans="1:59">
      <c r="A11" s="139" t="s">
        <v>573</v>
      </c>
      <c r="B11" s="233" t="s">
        <v>572</v>
      </c>
      <c r="C11" s="233" t="str">
        <f t="shared" si="2"/>
        <v>31016 ARLINGTON SCHOOL DISTRICT</v>
      </c>
      <c r="D11" s="607"/>
      <c r="E11" s="607">
        <v>20781.72</v>
      </c>
      <c r="F11" s="607"/>
      <c r="G11" s="607">
        <v>14390882.439999999</v>
      </c>
      <c r="H11" s="607">
        <v>2197760.9500000002</v>
      </c>
      <c r="I11" s="607">
        <v>56663.33</v>
      </c>
      <c r="J11" s="607">
        <v>1736461.01</v>
      </c>
      <c r="K11" s="607">
        <v>726953.55</v>
      </c>
      <c r="L11" s="607">
        <v>196374.26</v>
      </c>
      <c r="M11" s="607">
        <v>4597478.78</v>
      </c>
      <c r="N11" s="608">
        <v>3.2599999999999997E-2</v>
      </c>
      <c r="O11" s="608">
        <v>0.14380000000000001</v>
      </c>
      <c r="P11" s="607"/>
      <c r="Q11" s="607"/>
      <c r="R11" s="607"/>
      <c r="S11" s="607"/>
      <c r="T11" s="607"/>
      <c r="U11" s="607"/>
      <c r="V11" s="607"/>
      <c r="W11" s="607"/>
      <c r="X11" s="607"/>
      <c r="Y11" s="607"/>
      <c r="Z11" s="607">
        <v>36685.74</v>
      </c>
      <c r="AA11" s="607">
        <v>400049.24</v>
      </c>
      <c r="AB11" s="607">
        <v>387891.4</v>
      </c>
      <c r="AC11" s="607">
        <v>4135069.55</v>
      </c>
      <c r="AD11" s="607">
        <v>372.22</v>
      </c>
      <c r="AE11" s="607">
        <v>3861475.83</v>
      </c>
      <c r="AF11" s="148"/>
      <c r="AG11" s="148"/>
      <c r="AH11" s="148"/>
      <c r="AI11" s="607">
        <v>35.39</v>
      </c>
      <c r="AJ11" s="607">
        <v>360848.47</v>
      </c>
      <c r="AK11" s="148"/>
      <c r="AL11" s="148"/>
      <c r="AM11" s="148"/>
      <c r="AN11" s="607"/>
      <c r="AO11" s="607"/>
      <c r="AP11" s="148"/>
      <c r="AQ11" s="168">
        <v>29064.24000000034</v>
      </c>
      <c r="AR11" s="238">
        <v>651445.42000000004</v>
      </c>
      <c r="AU11" s="633">
        <f t="shared" si="3"/>
        <v>0</v>
      </c>
      <c r="AX11" s="358">
        <v>5</v>
      </c>
      <c r="AY11" s="301" t="s">
        <v>572</v>
      </c>
      <c r="AZ11" s="139" t="s">
        <v>573</v>
      </c>
      <c r="BA11" s="633">
        <f t="shared" si="4"/>
        <v>0</v>
      </c>
      <c r="BC11" s="196">
        <v>5</v>
      </c>
      <c r="BD11" s="73" t="s">
        <v>572</v>
      </c>
      <c r="BE11" s="139" t="s">
        <v>573</v>
      </c>
      <c r="BF11" s="168">
        <v>29064.24000000034</v>
      </c>
      <c r="BG11" s="168">
        <v>553712.09</v>
      </c>
    </row>
    <row r="12" spans="1:59">
      <c r="A12" s="139" t="s">
        <v>176</v>
      </c>
      <c r="B12" s="233" t="s">
        <v>175</v>
      </c>
      <c r="C12" s="233" t="str">
        <f t="shared" si="2"/>
        <v>02420 ASOTIN SCHOOL DISTRICT</v>
      </c>
      <c r="D12" s="607"/>
      <c r="E12" s="607">
        <v>15143.04</v>
      </c>
      <c r="F12" s="607"/>
      <c r="G12" s="607">
        <v>1181005.69</v>
      </c>
      <c r="H12" s="607">
        <v>207275.73</v>
      </c>
      <c r="I12" s="607"/>
      <c r="J12" s="607">
        <v>170552.91</v>
      </c>
      <c r="K12" s="607"/>
      <c r="L12" s="607">
        <v>19895.990000000002</v>
      </c>
      <c r="M12" s="607">
        <v>435809.05</v>
      </c>
      <c r="N12" s="608">
        <v>5.0700000000000002E-2</v>
      </c>
      <c r="O12" s="608">
        <v>0.22309999999999999</v>
      </c>
      <c r="P12" s="607"/>
      <c r="Q12" s="607"/>
      <c r="R12" s="607"/>
      <c r="S12" s="607"/>
      <c r="T12" s="607"/>
      <c r="U12" s="607"/>
      <c r="V12" s="607"/>
      <c r="W12" s="607"/>
      <c r="X12" s="607"/>
      <c r="Y12" s="607"/>
      <c r="Z12" s="607"/>
      <c r="AA12" s="607"/>
      <c r="AB12" s="607">
        <v>15047.74</v>
      </c>
      <c r="AC12" s="607">
        <v>468550.51</v>
      </c>
      <c r="AD12" s="607">
        <v>46.48</v>
      </c>
      <c r="AE12" s="607">
        <v>437810.24</v>
      </c>
      <c r="AF12" s="148"/>
      <c r="AG12" s="148"/>
      <c r="AH12" s="148"/>
      <c r="AI12" s="607">
        <v>1.53</v>
      </c>
      <c r="AJ12" s="607">
        <v>14036.16</v>
      </c>
      <c r="AK12" s="148"/>
      <c r="AL12" s="148"/>
      <c r="AM12" s="148"/>
      <c r="AN12" s="607"/>
      <c r="AO12" s="607"/>
      <c r="AP12" s="148"/>
      <c r="AQ12" s="168">
        <v>4630.8300000000017</v>
      </c>
      <c r="AR12" s="238">
        <v>74448.08</v>
      </c>
      <c r="AU12" s="633">
        <f t="shared" si="3"/>
        <v>0</v>
      </c>
      <c r="AX12" s="358">
        <v>6</v>
      </c>
      <c r="AY12" s="301" t="s">
        <v>175</v>
      </c>
      <c r="AZ12" s="139" t="s">
        <v>176</v>
      </c>
      <c r="BA12" s="633">
        <f t="shared" si="4"/>
        <v>0</v>
      </c>
      <c r="BC12" s="196">
        <v>6</v>
      </c>
      <c r="BD12" s="73" t="s">
        <v>175</v>
      </c>
      <c r="BE12" s="139" t="s">
        <v>176</v>
      </c>
      <c r="BF12" s="168">
        <v>4630.8300000000017</v>
      </c>
      <c r="BG12" s="168">
        <v>64380.570000000007</v>
      </c>
    </row>
    <row r="13" spans="1:59">
      <c r="A13" s="139" t="s">
        <v>360</v>
      </c>
      <c r="B13" s="233" t="s">
        <v>97</v>
      </c>
      <c r="C13" s="233" t="str">
        <f t="shared" si="2"/>
        <v>17408 AUBURN SCHOOL DISTRICT</v>
      </c>
      <c r="D13" s="607"/>
      <c r="E13" s="607"/>
      <c r="F13" s="607">
        <v>162120.88</v>
      </c>
      <c r="G13" s="607">
        <v>33141527.68</v>
      </c>
      <c r="H13" s="607">
        <v>4901956.33</v>
      </c>
      <c r="I13" s="607">
        <v>4573335.09</v>
      </c>
      <c r="J13" s="607">
        <v>7729599.3200000003</v>
      </c>
      <c r="K13" s="607">
        <v>10421807.689999999</v>
      </c>
      <c r="L13" s="607">
        <v>599637.80000000005</v>
      </c>
      <c r="M13" s="607">
        <v>12796432.310000001</v>
      </c>
      <c r="N13" s="608">
        <v>3.32E-2</v>
      </c>
      <c r="O13" s="608">
        <v>0.13539999999999999</v>
      </c>
      <c r="P13" s="607"/>
      <c r="Q13" s="607"/>
      <c r="R13" s="607"/>
      <c r="S13" s="607"/>
      <c r="T13" s="607"/>
      <c r="U13" s="607"/>
      <c r="V13" s="607"/>
      <c r="W13" s="607"/>
      <c r="X13" s="607"/>
      <c r="Y13" s="607">
        <v>13850.13</v>
      </c>
      <c r="Z13" s="607"/>
      <c r="AA13" s="607">
        <v>175881.71</v>
      </c>
      <c r="AB13" s="607">
        <v>2423473.5</v>
      </c>
      <c r="AC13" s="607">
        <v>9521391.2699999996</v>
      </c>
      <c r="AD13" s="607">
        <v>820.58</v>
      </c>
      <c r="AE13" s="607">
        <v>8360503.5899999999</v>
      </c>
      <c r="AF13" s="148"/>
      <c r="AG13" s="148"/>
      <c r="AH13" s="148"/>
      <c r="AI13" s="607">
        <v>225.37</v>
      </c>
      <c r="AJ13" s="607">
        <v>2255953.42</v>
      </c>
      <c r="AK13" s="148"/>
      <c r="AL13" s="148"/>
      <c r="AM13" s="148"/>
      <c r="AN13" s="607"/>
      <c r="AO13" s="607"/>
      <c r="AP13" s="148"/>
      <c r="AQ13" s="168">
        <v>4181165.6800000006</v>
      </c>
      <c r="AR13" s="238">
        <v>2183424.2099999995</v>
      </c>
      <c r="AU13" s="633">
        <f t="shared" si="3"/>
        <v>0</v>
      </c>
      <c r="AX13" s="358">
        <v>7</v>
      </c>
      <c r="AY13" s="301" t="s">
        <v>97</v>
      </c>
      <c r="AZ13" s="139" t="s">
        <v>360</v>
      </c>
      <c r="BA13" s="633">
        <f t="shared" si="4"/>
        <v>0</v>
      </c>
      <c r="BC13" s="196">
        <v>7</v>
      </c>
      <c r="BD13" s="73" t="s">
        <v>97</v>
      </c>
      <c r="BE13" s="139" t="s">
        <v>360</v>
      </c>
      <c r="BF13" s="168">
        <v>4181165.6800000006</v>
      </c>
      <c r="BG13" s="168">
        <v>1958667.69</v>
      </c>
    </row>
    <row r="14" spans="1:59">
      <c r="A14" s="139" t="s">
        <v>377</v>
      </c>
      <c r="B14" s="233" t="s">
        <v>376</v>
      </c>
      <c r="C14" s="233" t="str">
        <f t="shared" si="2"/>
        <v>18303 BAINBRIDGE SCHOOL DISTRICT</v>
      </c>
      <c r="D14" s="607"/>
      <c r="E14" s="607"/>
      <c r="F14" s="607"/>
      <c r="G14" s="607">
        <v>8307638.3099999996</v>
      </c>
      <c r="H14" s="607">
        <v>1018973.23</v>
      </c>
      <c r="I14" s="607"/>
      <c r="J14" s="607">
        <v>322763.57</v>
      </c>
      <c r="K14" s="607">
        <v>106448.48</v>
      </c>
      <c r="L14" s="607">
        <v>126846.87</v>
      </c>
      <c r="M14" s="607">
        <v>1848921.53</v>
      </c>
      <c r="N14" s="608">
        <v>1.9599999999999999E-2</v>
      </c>
      <c r="O14" s="608">
        <v>0.19359999999999999</v>
      </c>
      <c r="P14" s="607"/>
      <c r="Q14" s="607"/>
      <c r="R14" s="607"/>
      <c r="S14" s="607"/>
      <c r="T14" s="607"/>
      <c r="U14" s="607"/>
      <c r="V14" s="607"/>
      <c r="W14" s="607"/>
      <c r="X14" s="607"/>
      <c r="Y14" s="607">
        <v>2810.5</v>
      </c>
      <c r="Z14" s="607"/>
      <c r="AA14" s="607"/>
      <c r="AB14" s="607">
        <v>589112.81000000006</v>
      </c>
      <c r="AC14" s="607">
        <v>3429013.81</v>
      </c>
      <c r="AD14" s="607">
        <v>295.05</v>
      </c>
      <c r="AE14" s="607">
        <v>3174195.31</v>
      </c>
      <c r="AF14" s="148"/>
      <c r="AG14" s="148"/>
      <c r="AH14" s="148"/>
      <c r="AI14" s="607">
        <v>51.12</v>
      </c>
      <c r="AJ14" s="607">
        <v>540943.39</v>
      </c>
      <c r="AK14" s="148"/>
      <c r="AL14" s="148"/>
      <c r="AM14" s="148"/>
      <c r="AN14" s="607"/>
      <c r="AO14" s="607"/>
      <c r="AP14" s="148"/>
      <c r="AQ14" s="168">
        <v>2132.2799999999697</v>
      </c>
      <c r="AR14" s="238">
        <v>379370.76</v>
      </c>
      <c r="AU14" s="633">
        <f t="shared" si="3"/>
        <v>0</v>
      </c>
      <c r="AX14" s="358">
        <v>8</v>
      </c>
      <c r="AY14" s="301" t="s">
        <v>376</v>
      </c>
      <c r="AZ14" s="139" t="s">
        <v>377</v>
      </c>
      <c r="BA14" s="633">
        <f t="shared" si="4"/>
        <v>0</v>
      </c>
      <c r="BC14" s="196">
        <v>8</v>
      </c>
      <c r="BD14" s="73" t="s">
        <v>376</v>
      </c>
      <c r="BE14" s="139" t="s">
        <v>377</v>
      </c>
      <c r="BF14" s="168">
        <v>2132.2799999999697</v>
      </c>
      <c r="BG14" s="168">
        <v>347296.56</v>
      </c>
    </row>
    <row r="15" spans="1:59">
      <c r="A15" s="139" t="s">
        <v>226</v>
      </c>
      <c r="B15" s="233" t="s">
        <v>225</v>
      </c>
      <c r="C15" s="233" t="str">
        <f t="shared" si="2"/>
        <v>06119 BATTLE GROUND SCHOOL DISTRICT</v>
      </c>
      <c r="D15" s="607"/>
      <c r="E15" s="607">
        <v>272090.25</v>
      </c>
      <c r="F15" s="607">
        <v>15898.61</v>
      </c>
      <c r="G15" s="607">
        <v>28978722.73</v>
      </c>
      <c r="H15" s="607">
        <v>4469687.45</v>
      </c>
      <c r="I15" s="607">
        <v>261888.36</v>
      </c>
      <c r="J15" s="607">
        <v>3824553.69</v>
      </c>
      <c r="K15" s="607">
        <v>2709454.69</v>
      </c>
      <c r="L15" s="607">
        <v>427203.13</v>
      </c>
      <c r="M15" s="607">
        <v>14379865.689999999</v>
      </c>
      <c r="N15" s="608">
        <v>2.9499999999999998E-2</v>
      </c>
      <c r="O15" s="608">
        <v>0.1542</v>
      </c>
      <c r="P15" s="607"/>
      <c r="Q15" s="607"/>
      <c r="R15" s="607"/>
      <c r="S15" s="607"/>
      <c r="T15" s="607"/>
      <c r="U15" s="607"/>
      <c r="V15" s="607"/>
      <c r="W15" s="607"/>
      <c r="X15" s="607"/>
      <c r="Y15" s="607">
        <v>10401.32</v>
      </c>
      <c r="Z15" s="607"/>
      <c r="AA15" s="607">
        <v>305032.98</v>
      </c>
      <c r="AB15" s="607">
        <v>713788.32</v>
      </c>
      <c r="AC15" s="607">
        <v>10170889.93</v>
      </c>
      <c r="AD15" s="607">
        <v>957.75</v>
      </c>
      <c r="AE15" s="607">
        <v>9567626.1400000006</v>
      </c>
      <c r="AF15" s="148"/>
      <c r="AG15" s="148"/>
      <c r="AH15" s="148"/>
      <c r="AI15" s="607">
        <v>67.42</v>
      </c>
      <c r="AJ15" s="607">
        <v>661373.81000000006</v>
      </c>
      <c r="AK15" s="148"/>
      <c r="AL15" s="148"/>
      <c r="AM15" s="148"/>
      <c r="AN15" s="607"/>
      <c r="AO15" s="607"/>
      <c r="AP15" s="148"/>
      <c r="AQ15" s="168">
        <v>738975.40000000072</v>
      </c>
      <c r="AR15" s="238">
        <v>1287421.47</v>
      </c>
      <c r="AU15" s="633">
        <f t="shared" si="3"/>
        <v>0</v>
      </c>
      <c r="AX15" s="358">
        <v>9</v>
      </c>
      <c r="AY15" s="301" t="s">
        <v>225</v>
      </c>
      <c r="AZ15" s="139" t="s">
        <v>226</v>
      </c>
      <c r="BA15" s="633">
        <f t="shared" si="4"/>
        <v>0</v>
      </c>
      <c r="BC15" s="196">
        <v>9</v>
      </c>
      <c r="BD15" s="73" t="s">
        <v>225</v>
      </c>
      <c r="BE15" s="139" t="s">
        <v>226</v>
      </c>
      <c r="BF15" s="168">
        <v>738975.40000000072</v>
      </c>
      <c r="BG15" s="168">
        <v>1097482.46</v>
      </c>
    </row>
    <row r="16" spans="1:59">
      <c r="A16" s="139" t="s">
        <v>355</v>
      </c>
      <c r="B16" s="233" t="s">
        <v>354</v>
      </c>
      <c r="C16" s="233" t="str">
        <f t="shared" si="2"/>
        <v>17405 BELLEVUE SCHOOL DISTRICT</v>
      </c>
      <c r="D16" s="607"/>
      <c r="E16" s="607">
        <v>107243.27</v>
      </c>
      <c r="F16" s="607"/>
      <c r="G16" s="607">
        <v>43995366.619999997</v>
      </c>
      <c r="H16" s="607">
        <v>5347245.2699999996</v>
      </c>
      <c r="I16" s="607">
        <v>708538.79</v>
      </c>
      <c r="J16" s="607">
        <v>3563612.18</v>
      </c>
      <c r="K16" s="607">
        <v>8424881.1199999992</v>
      </c>
      <c r="L16" s="607">
        <v>728436.56</v>
      </c>
      <c r="M16" s="607">
        <v>8081259.9699999997</v>
      </c>
      <c r="N16" s="608">
        <v>3.6700000000000003E-2</v>
      </c>
      <c r="O16" s="608">
        <v>0.12759999999999999</v>
      </c>
      <c r="P16" s="607"/>
      <c r="Q16" s="607"/>
      <c r="R16" s="607"/>
      <c r="S16" s="607"/>
      <c r="T16" s="607"/>
      <c r="U16" s="607"/>
      <c r="V16" s="607"/>
      <c r="W16" s="607"/>
      <c r="X16" s="607"/>
      <c r="Y16" s="607">
        <v>4641.0200000000004</v>
      </c>
      <c r="Z16" s="607">
        <v>200192</v>
      </c>
      <c r="AA16" s="607">
        <v>112608</v>
      </c>
      <c r="AB16" s="607">
        <v>2540156.56</v>
      </c>
      <c r="AC16" s="607">
        <v>10293404.439999999</v>
      </c>
      <c r="AD16" s="607">
        <v>846.65</v>
      </c>
      <c r="AE16" s="607">
        <v>8952015.5099999998</v>
      </c>
      <c r="AF16" s="148"/>
      <c r="AG16" s="148"/>
      <c r="AH16" s="148"/>
      <c r="AI16" s="607">
        <v>228.38</v>
      </c>
      <c r="AJ16" s="607">
        <v>2374072.5299999998</v>
      </c>
      <c r="AK16" s="148"/>
      <c r="AL16" s="148"/>
      <c r="AM16" s="148"/>
      <c r="AN16" s="607"/>
      <c r="AO16" s="607"/>
      <c r="AP16" s="148"/>
      <c r="AQ16" s="168">
        <v>50270.290000000037</v>
      </c>
      <c r="AR16" s="238">
        <v>2211402.6799999997</v>
      </c>
      <c r="AU16" s="633">
        <f t="shared" si="3"/>
        <v>0</v>
      </c>
      <c r="AX16" s="358">
        <v>10</v>
      </c>
      <c r="AY16" s="301" t="s">
        <v>354</v>
      </c>
      <c r="AZ16" s="139" t="s">
        <v>355</v>
      </c>
      <c r="BA16" s="633">
        <f t="shared" si="4"/>
        <v>0</v>
      </c>
      <c r="BC16" s="196">
        <v>10</v>
      </c>
      <c r="BD16" s="73" t="s">
        <v>354</v>
      </c>
      <c r="BE16" s="139" t="s">
        <v>355</v>
      </c>
      <c r="BF16" s="168">
        <v>50270.290000000037</v>
      </c>
      <c r="BG16" s="168">
        <v>2068893.9599999997</v>
      </c>
    </row>
    <row r="17" spans="1:59">
      <c r="A17" s="139" t="s">
        <v>672</v>
      </c>
      <c r="B17" s="233" t="s">
        <v>671</v>
      </c>
      <c r="C17" s="233" t="str">
        <f t="shared" si="2"/>
        <v>37501 BELLINGHAM SCHOOL DISTRICT</v>
      </c>
      <c r="D17" s="607"/>
      <c r="E17" s="607">
        <v>79332.03</v>
      </c>
      <c r="F17" s="607"/>
      <c r="G17" s="607">
        <v>28396043.43</v>
      </c>
      <c r="H17" s="607">
        <v>4357164.33</v>
      </c>
      <c r="I17" s="607">
        <v>647496.84</v>
      </c>
      <c r="J17" s="607">
        <v>3131156.2</v>
      </c>
      <c r="K17" s="607">
        <v>2002552.33</v>
      </c>
      <c r="L17" s="607">
        <v>358029.03</v>
      </c>
      <c r="M17" s="607">
        <v>7045324.9800000004</v>
      </c>
      <c r="N17" s="608">
        <v>4.2000000000000003E-2</v>
      </c>
      <c r="O17" s="608">
        <v>0.16470000000000001</v>
      </c>
      <c r="P17" s="607"/>
      <c r="Q17" s="607"/>
      <c r="R17" s="607"/>
      <c r="S17" s="607"/>
      <c r="T17" s="607"/>
      <c r="U17" s="607"/>
      <c r="V17" s="607"/>
      <c r="W17" s="607"/>
      <c r="X17" s="607"/>
      <c r="Y17" s="607">
        <v>897.23</v>
      </c>
      <c r="Z17" s="607"/>
      <c r="AA17" s="607">
        <v>263577.57</v>
      </c>
      <c r="AB17" s="607">
        <v>5933270.5899999999</v>
      </c>
      <c r="AC17" s="607">
        <v>10216695.210000001</v>
      </c>
      <c r="AD17" s="607">
        <v>954.07</v>
      </c>
      <c r="AE17" s="607">
        <v>9353531.4199999999</v>
      </c>
      <c r="AF17" s="148"/>
      <c r="AG17" s="148"/>
      <c r="AH17" s="148"/>
      <c r="AI17" s="607">
        <v>578.91999999999996</v>
      </c>
      <c r="AJ17" s="607">
        <v>5571522.4500000002</v>
      </c>
      <c r="AK17" s="148"/>
      <c r="AL17" s="148"/>
      <c r="AM17" s="148"/>
      <c r="AN17" s="607"/>
      <c r="AO17" s="607"/>
      <c r="AP17" s="148"/>
      <c r="AQ17" s="168">
        <v>0</v>
      </c>
      <c r="AR17" s="238">
        <v>1223672.06</v>
      </c>
      <c r="AU17" s="633">
        <f t="shared" si="3"/>
        <v>0</v>
      </c>
      <c r="AX17" s="358">
        <v>11</v>
      </c>
      <c r="AY17" s="301" t="s">
        <v>671</v>
      </c>
      <c r="AZ17" s="139" t="s">
        <v>672</v>
      </c>
      <c r="BA17" s="633">
        <f t="shared" si="4"/>
        <v>0</v>
      </c>
      <c r="BC17" s="196">
        <v>11</v>
      </c>
      <c r="BD17" s="73" t="s">
        <v>671</v>
      </c>
      <c r="BE17" s="139" t="s">
        <v>672</v>
      </c>
      <c r="BF17" s="168">
        <v>0</v>
      </c>
      <c r="BG17" s="168">
        <v>1044378.1399999999</v>
      </c>
    </row>
    <row r="18" spans="1:59">
      <c r="A18" s="139" t="s">
        <v>166</v>
      </c>
      <c r="B18" s="233" t="s">
        <v>165</v>
      </c>
      <c r="C18" s="233" t="str">
        <f t="shared" si="2"/>
        <v>01122 BENGE SCHOOL DISTRICT</v>
      </c>
      <c r="D18" s="607">
        <v>695.89</v>
      </c>
      <c r="E18" s="607"/>
      <c r="F18" s="607"/>
      <c r="G18" s="607"/>
      <c r="H18" s="607"/>
      <c r="I18" s="607"/>
      <c r="J18" s="607"/>
      <c r="K18" s="607"/>
      <c r="L18" s="607"/>
      <c r="M18" s="607">
        <v>113274.44</v>
      </c>
      <c r="N18" s="608">
        <v>0.14319999999999999</v>
      </c>
      <c r="O18" s="608">
        <v>0.34350000000000003</v>
      </c>
      <c r="P18" s="607"/>
      <c r="Q18" s="607"/>
      <c r="R18" s="607"/>
      <c r="S18" s="607"/>
      <c r="T18" s="607"/>
      <c r="U18" s="607"/>
      <c r="V18" s="607"/>
      <c r="W18" s="607"/>
      <c r="X18" s="607"/>
      <c r="Y18" s="607"/>
      <c r="Z18" s="607"/>
      <c r="AA18" s="607"/>
      <c r="AB18" s="607"/>
      <c r="AC18" s="607"/>
      <c r="AD18" s="607"/>
      <c r="AE18" s="607"/>
      <c r="AF18" s="148"/>
      <c r="AG18" s="148"/>
      <c r="AH18" s="148"/>
      <c r="AI18" s="607"/>
      <c r="AJ18" s="607"/>
      <c r="AK18" s="148"/>
      <c r="AL18" s="148"/>
      <c r="AM18" s="148"/>
      <c r="AN18" s="607">
        <v>1.57</v>
      </c>
      <c r="AO18" s="607"/>
      <c r="AP18" s="148"/>
      <c r="AQ18" s="168">
        <v>2039.7799999999993</v>
      </c>
      <c r="AR18" s="238">
        <v>2960.04</v>
      </c>
      <c r="AU18" s="633">
        <f t="shared" si="3"/>
        <v>0</v>
      </c>
      <c r="AX18" s="358">
        <v>12</v>
      </c>
      <c r="AY18" s="301" t="s">
        <v>165</v>
      </c>
      <c r="AZ18" s="139" t="s">
        <v>166</v>
      </c>
      <c r="BA18" s="633">
        <f t="shared" si="4"/>
        <v>0</v>
      </c>
      <c r="BC18" s="196">
        <v>12</v>
      </c>
      <c r="BD18" s="73" t="s">
        <v>165</v>
      </c>
      <c r="BE18" s="139" t="s">
        <v>166</v>
      </c>
      <c r="BF18" s="168">
        <v>2039.7799999999993</v>
      </c>
      <c r="BG18" s="168">
        <v>3046.14</v>
      </c>
    </row>
    <row r="19" spans="1:59">
      <c r="A19" s="139" t="s">
        <v>528</v>
      </c>
      <c r="B19" s="233" t="s">
        <v>527</v>
      </c>
      <c r="C19" s="233" t="str">
        <f t="shared" si="2"/>
        <v>27403 BETHEL SCHOOL DISTRICT</v>
      </c>
      <c r="D19" s="607"/>
      <c r="E19" s="607"/>
      <c r="F19" s="607">
        <v>159895.26999999999</v>
      </c>
      <c r="G19" s="607">
        <v>45581364.100000001</v>
      </c>
      <c r="H19" s="607">
        <v>6906688.8899999997</v>
      </c>
      <c r="I19" s="607">
        <v>3777490.96</v>
      </c>
      <c r="J19" s="607">
        <v>7951126.3399999999</v>
      </c>
      <c r="K19" s="607">
        <v>3428084.44</v>
      </c>
      <c r="L19" s="607">
        <v>693979.01</v>
      </c>
      <c r="M19" s="607">
        <v>19614742.18</v>
      </c>
      <c r="N19" s="608">
        <v>3.9699999999999999E-2</v>
      </c>
      <c r="O19" s="608">
        <v>0.14940000000000001</v>
      </c>
      <c r="P19" s="607"/>
      <c r="Q19" s="607"/>
      <c r="R19" s="607"/>
      <c r="S19" s="607"/>
      <c r="T19" s="607"/>
      <c r="U19" s="607"/>
      <c r="V19" s="607"/>
      <c r="W19" s="607"/>
      <c r="X19" s="607"/>
      <c r="Y19" s="607">
        <v>16241.11</v>
      </c>
      <c r="Z19" s="607"/>
      <c r="AA19" s="607">
        <v>245890.34</v>
      </c>
      <c r="AB19" s="607">
        <v>2508551.15</v>
      </c>
      <c r="AC19" s="607">
        <v>11115139.91</v>
      </c>
      <c r="AD19" s="607">
        <v>1041.5</v>
      </c>
      <c r="AE19" s="607">
        <v>10210904.470000001</v>
      </c>
      <c r="AF19" s="148"/>
      <c r="AG19" s="148"/>
      <c r="AH19" s="148"/>
      <c r="AI19" s="607">
        <v>244.18</v>
      </c>
      <c r="AJ19" s="607">
        <v>2349888.4700000002</v>
      </c>
      <c r="AK19" s="148"/>
      <c r="AL19" s="148"/>
      <c r="AM19" s="148"/>
      <c r="AN19" s="607"/>
      <c r="AO19" s="607"/>
      <c r="AP19" s="148"/>
      <c r="AQ19" s="168">
        <v>290692.05000000494</v>
      </c>
      <c r="AR19" s="238">
        <v>2345447.0999999996</v>
      </c>
      <c r="AU19" s="633">
        <f t="shared" si="3"/>
        <v>0</v>
      </c>
      <c r="AX19" s="358">
        <v>13</v>
      </c>
      <c r="AY19" s="301" t="s">
        <v>527</v>
      </c>
      <c r="AZ19" s="139" t="s">
        <v>528</v>
      </c>
      <c r="BA19" s="633">
        <f t="shared" si="4"/>
        <v>0</v>
      </c>
      <c r="BC19" s="196">
        <v>13</v>
      </c>
      <c r="BD19" s="73" t="s">
        <v>527</v>
      </c>
      <c r="BE19" s="139" t="s">
        <v>528</v>
      </c>
      <c r="BF19" s="168">
        <v>290692.05000000494</v>
      </c>
      <c r="BG19" s="168">
        <v>2042884.62</v>
      </c>
    </row>
    <row r="20" spans="1:59">
      <c r="A20" s="139" t="s">
        <v>399</v>
      </c>
      <c r="B20" s="233" t="s">
        <v>398</v>
      </c>
      <c r="C20" s="233" t="str">
        <f t="shared" si="2"/>
        <v>20203 BICKLETON SCHOOL DISTRICT</v>
      </c>
      <c r="D20" s="607"/>
      <c r="E20" s="607"/>
      <c r="F20" s="607"/>
      <c r="G20" s="607"/>
      <c r="H20" s="607">
        <v>26221.4</v>
      </c>
      <c r="I20" s="607"/>
      <c r="J20" s="607"/>
      <c r="K20" s="607"/>
      <c r="L20" s="607"/>
      <c r="M20" s="607">
        <v>246200.8</v>
      </c>
      <c r="N20" s="608">
        <v>2.3E-2</v>
      </c>
      <c r="O20" s="608">
        <v>0.25900000000000001</v>
      </c>
      <c r="P20" s="607"/>
      <c r="Q20" s="607"/>
      <c r="R20" s="607"/>
      <c r="S20" s="607"/>
      <c r="T20" s="607"/>
      <c r="U20" s="607"/>
      <c r="V20" s="607"/>
      <c r="W20" s="607"/>
      <c r="X20" s="607"/>
      <c r="Y20" s="607">
        <v>70.47</v>
      </c>
      <c r="Z20" s="607"/>
      <c r="AA20" s="607"/>
      <c r="AB20" s="607">
        <v>13397.66</v>
      </c>
      <c r="AC20" s="607">
        <v>12716.54</v>
      </c>
      <c r="AD20" s="607">
        <v>0.99</v>
      </c>
      <c r="AE20" s="607">
        <v>9401.94</v>
      </c>
      <c r="AF20" s="148"/>
      <c r="AG20" s="148"/>
      <c r="AH20" s="148"/>
      <c r="AI20" s="607">
        <v>1.35</v>
      </c>
      <c r="AJ20" s="607">
        <v>12446.83</v>
      </c>
      <c r="AK20" s="148"/>
      <c r="AL20" s="148"/>
      <c r="AM20" s="148"/>
      <c r="AN20" s="607"/>
      <c r="AO20" s="607"/>
      <c r="AP20" s="148"/>
      <c r="AQ20" s="168">
        <v>2883.2099999999919</v>
      </c>
      <c r="AR20" s="238">
        <v>19540.890000000003</v>
      </c>
      <c r="AU20" s="633">
        <f t="shared" si="3"/>
        <v>0</v>
      </c>
      <c r="AX20" s="358">
        <v>14</v>
      </c>
      <c r="AY20" s="301" t="s">
        <v>398</v>
      </c>
      <c r="AZ20" s="139" t="s">
        <v>399</v>
      </c>
      <c r="BA20" s="633">
        <f t="shared" si="4"/>
        <v>0</v>
      </c>
      <c r="BC20" s="196">
        <v>14</v>
      </c>
      <c r="BD20" s="73" t="s">
        <v>398</v>
      </c>
      <c r="BE20" s="139" t="s">
        <v>399</v>
      </c>
      <c r="BF20" s="168">
        <v>2883.2099999999919</v>
      </c>
      <c r="BG20" s="168">
        <v>19630.340000000004</v>
      </c>
    </row>
    <row r="21" spans="1:59">
      <c r="A21" s="139" t="s">
        <v>676</v>
      </c>
      <c r="B21" s="233" t="s">
        <v>675</v>
      </c>
      <c r="C21" s="233" t="str">
        <f t="shared" si="2"/>
        <v>37503 BLAINE SCHOOL DISTRICT</v>
      </c>
      <c r="D21" s="607"/>
      <c r="E21" s="607">
        <v>72341.08</v>
      </c>
      <c r="F21" s="607">
        <v>32545.759999999998</v>
      </c>
      <c r="G21" s="607">
        <v>5172153.9400000004</v>
      </c>
      <c r="H21" s="607">
        <v>767649.33</v>
      </c>
      <c r="I21" s="607">
        <v>314809.84999999998</v>
      </c>
      <c r="J21" s="607">
        <v>728340.54</v>
      </c>
      <c r="K21" s="607">
        <v>219357.14</v>
      </c>
      <c r="L21" s="607">
        <v>66301.42</v>
      </c>
      <c r="M21" s="607">
        <v>1778809.25</v>
      </c>
      <c r="N21" s="608">
        <v>3.8199999999999998E-2</v>
      </c>
      <c r="O21" s="608">
        <v>0.18990000000000001</v>
      </c>
      <c r="P21" s="607"/>
      <c r="Q21" s="607"/>
      <c r="R21" s="607"/>
      <c r="S21" s="607"/>
      <c r="T21" s="607"/>
      <c r="U21" s="607"/>
      <c r="V21" s="607"/>
      <c r="W21" s="607"/>
      <c r="X21" s="607"/>
      <c r="Y21" s="607">
        <v>1623.21</v>
      </c>
      <c r="Z21" s="607">
        <v>5619.88</v>
      </c>
      <c r="AA21" s="607"/>
      <c r="AB21" s="607">
        <v>91987.98</v>
      </c>
      <c r="AC21" s="607">
        <v>1196608.72</v>
      </c>
      <c r="AD21" s="607">
        <v>106.82</v>
      </c>
      <c r="AE21" s="607">
        <v>1088298.67</v>
      </c>
      <c r="AF21" s="148"/>
      <c r="AG21" s="148"/>
      <c r="AH21" s="148"/>
      <c r="AI21" s="607">
        <v>8.59</v>
      </c>
      <c r="AJ21" s="607">
        <v>85920.21</v>
      </c>
      <c r="AK21" s="148"/>
      <c r="AL21" s="148"/>
      <c r="AM21" s="148"/>
      <c r="AN21" s="607"/>
      <c r="AO21" s="607"/>
      <c r="AP21" s="148"/>
      <c r="AQ21" s="168">
        <v>0</v>
      </c>
      <c r="AR21" s="238">
        <v>232912.10000000003</v>
      </c>
      <c r="AU21" s="633">
        <f t="shared" si="3"/>
        <v>0</v>
      </c>
      <c r="AX21" s="358">
        <v>15</v>
      </c>
      <c r="AY21" s="301" t="s">
        <v>675</v>
      </c>
      <c r="AZ21" s="139" t="s">
        <v>676</v>
      </c>
      <c r="BA21" s="633">
        <f t="shared" si="4"/>
        <v>0</v>
      </c>
      <c r="BC21" s="196">
        <v>15</v>
      </c>
      <c r="BD21" s="73" t="s">
        <v>675</v>
      </c>
      <c r="BE21" s="139" t="s">
        <v>676</v>
      </c>
      <c r="BF21" s="168">
        <v>0</v>
      </c>
      <c r="BG21" s="168">
        <v>197570.75000000003</v>
      </c>
    </row>
    <row r="22" spans="1:59">
      <c r="A22" s="139" t="s">
        <v>429</v>
      </c>
      <c r="B22" s="233" t="s">
        <v>428</v>
      </c>
      <c r="C22" s="233" t="str">
        <f t="shared" si="2"/>
        <v>21234 BOISTFORT SCHOOL DISTRICT</v>
      </c>
      <c r="D22" s="607"/>
      <c r="E22" s="607"/>
      <c r="F22" s="607"/>
      <c r="G22" s="607">
        <v>924802.89</v>
      </c>
      <c r="H22" s="607">
        <v>107503.38</v>
      </c>
      <c r="I22" s="607">
        <v>24206.799999999999</v>
      </c>
      <c r="J22" s="607">
        <v>109206.91</v>
      </c>
      <c r="K22" s="607"/>
      <c r="L22" s="607">
        <v>12379.74</v>
      </c>
      <c r="M22" s="607">
        <v>256794.27</v>
      </c>
      <c r="N22" s="608"/>
      <c r="O22" s="608">
        <v>0.14699999999999999</v>
      </c>
      <c r="P22" s="607"/>
      <c r="Q22" s="607"/>
      <c r="R22" s="607"/>
      <c r="S22" s="607"/>
      <c r="T22" s="607"/>
      <c r="U22" s="607"/>
      <c r="V22" s="607"/>
      <c r="W22" s="607"/>
      <c r="X22" s="607"/>
      <c r="Y22" s="607">
        <v>68.010000000000005</v>
      </c>
      <c r="Z22" s="607">
        <v>1065.83</v>
      </c>
      <c r="AA22" s="607"/>
      <c r="AB22" s="607">
        <v>8327.66</v>
      </c>
      <c r="AC22" s="607">
        <v>8715.7900000000009</v>
      </c>
      <c r="AD22" s="607"/>
      <c r="AE22" s="607"/>
      <c r="AF22" s="148"/>
      <c r="AG22" s="148"/>
      <c r="AH22" s="148"/>
      <c r="AI22" s="607">
        <v>0.8</v>
      </c>
      <c r="AJ22" s="607">
        <v>7548.46</v>
      </c>
      <c r="AK22" s="148"/>
      <c r="AL22" s="148"/>
      <c r="AM22" s="148"/>
      <c r="AN22" s="607"/>
      <c r="AO22" s="607"/>
      <c r="AP22" s="148"/>
      <c r="AQ22" s="168">
        <v>39411.939999999995</v>
      </c>
      <c r="AR22" s="238">
        <v>13272.96</v>
      </c>
      <c r="AU22" s="633">
        <f t="shared" si="3"/>
        <v>0</v>
      </c>
      <c r="AX22" s="358">
        <v>16</v>
      </c>
      <c r="AY22" s="301" t="s">
        <v>428</v>
      </c>
      <c r="AZ22" s="139" t="s">
        <v>429</v>
      </c>
      <c r="BA22" s="633">
        <f t="shared" si="4"/>
        <v>0</v>
      </c>
      <c r="BC22" s="196">
        <v>16</v>
      </c>
      <c r="BD22" s="73" t="s">
        <v>428</v>
      </c>
      <c r="BE22" s="139" t="s">
        <v>429</v>
      </c>
      <c r="BF22" s="168">
        <v>39411.939999999995</v>
      </c>
      <c r="BG22" s="168">
        <v>10645.22</v>
      </c>
    </row>
    <row r="23" spans="1:59">
      <c r="A23" s="139" t="s">
        <v>375</v>
      </c>
      <c r="B23" s="233" t="s">
        <v>374</v>
      </c>
      <c r="C23" s="233" t="str">
        <f t="shared" si="2"/>
        <v>18100 BREMERTON SCHOOL DISTRICT</v>
      </c>
      <c r="D23" s="607"/>
      <c r="E23" s="607">
        <v>140589.44</v>
      </c>
      <c r="F23" s="607"/>
      <c r="G23" s="607">
        <v>13524629.869999999</v>
      </c>
      <c r="H23" s="607">
        <v>1836314.6</v>
      </c>
      <c r="I23" s="607">
        <v>1415674.56</v>
      </c>
      <c r="J23" s="607">
        <v>2298573.85</v>
      </c>
      <c r="K23" s="607">
        <v>1256889.21</v>
      </c>
      <c r="L23" s="607">
        <v>162498.35999999999</v>
      </c>
      <c r="M23" s="607">
        <v>2976961.78</v>
      </c>
      <c r="N23" s="608">
        <v>4.5600000000000002E-2</v>
      </c>
      <c r="O23" s="608">
        <v>0.1628</v>
      </c>
      <c r="P23" s="607"/>
      <c r="Q23" s="607"/>
      <c r="R23" s="607"/>
      <c r="S23" s="607"/>
      <c r="T23" s="607"/>
      <c r="U23" s="607"/>
      <c r="V23" s="607"/>
      <c r="W23" s="607"/>
      <c r="X23" s="607"/>
      <c r="Y23" s="607">
        <v>3544.68</v>
      </c>
      <c r="Z23" s="607">
        <v>99952.22</v>
      </c>
      <c r="AA23" s="607">
        <v>114537.52</v>
      </c>
      <c r="AB23" s="607">
        <v>1401637.44</v>
      </c>
      <c r="AC23" s="607">
        <v>3280008.65</v>
      </c>
      <c r="AD23" s="607">
        <v>289.68</v>
      </c>
      <c r="AE23" s="607">
        <v>3062864.1</v>
      </c>
      <c r="AF23" s="148"/>
      <c r="AG23" s="148"/>
      <c r="AH23" s="148"/>
      <c r="AI23" s="607">
        <v>127.2</v>
      </c>
      <c r="AJ23" s="607">
        <v>1322163.6499999999</v>
      </c>
      <c r="AK23" s="148"/>
      <c r="AL23" s="148"/>
      <c r="AM23" s="148"/>
      <c r="AN23" s="607"/>
      <c r="AO23" s="607"/>
      <c r="AP23" s="148"/>
      <c r="AQ23" s="168">
        <v>63228.070000000298</v>
      </c>
      <c r="AR23" s="238">
        <v>597799.82999999996</v>
      </c>
      <c r="AU23" s="633">
        <f t="shared" si="3"/>
        <v>0</v>
      </c>
      <c r="AX23" s="358">
        <v>17</v>
      </c>
      <c r="AY23" s="301" t="s">
        <v>374</v>
      </c>
      <c r="AZ23" s="139" t="s">
        <v>375</v>
      </c>
      <c r="BA23" s="633">
        <f t="shared" si="4"/>
        <v>0</v>
      </c>
      <c r="BC23" s="196">
        <v>17</v>
      </c>
      <c r="BD23" s="73" t="s">
        <v>374</v>
      </c>
      <c r="BE23" s="139" t="s">
        <v>375</v>
      </c>
      <c r="BF23" s="168">
        <v>63228.070000000298</v>
      </c>
      <c r="BG23" s="168">
        <v>521282.95</v>
      </c>
    </row>
    <row r="24" spans="1:59">
      <c r="A24" s="139" t="s">
        <v>479</v>
      </c>
      <c r="B24" s="233" t="s">
        <v>478</v>
      </c>
      <c r="C24" s="233" t="str">
        <f t="shared" si="2"/>
        <v>24111 BREWSTER SCHOOL DISTRICT</v>
      </c>
      <c r="D24" s="607"/>
      <c r="E24" s="607">
        <v>27543.15</v>
      </c>
      <c r="F24" s="607">
        <v>18316.96</v>
      </c>
      <c r="G24" s="607">
        <v>1507933.7</v>
      </c>
      <c r="H24" s="607">
        <v>252763.77</v>
      </c>
      <c r="I24" s="607">
        <v>313804.09999999998</v>
      </c>
      <c r="J24" s="607">
        <v>658999.68000000005</v>
      </c>
      <c r="K24" s="607">
        <v>708551.75</v>
      </c>
      <c r="L24" s="607">
        <v>29401.85</v>
      </c>
      <c r="M24" s="607">
        <v>286460.31</v>
      </c>
      <c r="N24" s="608">
        <v>6.5600000000000006E-2</v>
      </c>
      <c r="O24" s="608">
        <v>0.21940000000000001</v>
      </c>
      <c r="P24" s="607"/>
      <c r="Q24" s="607"/>
      <c r="R24" s="607"/>
      <c r="S24" s="607"/>
      <c r="T24" s="607"/>
      <c r="U24" s="607"/>
      <c r="V24" s="607"/>
      <c r="W24" s="607"/>
      <c r="X24" s="607"/>
      <c r="Y24" s="607">
        <v>813.65</v>
      </c>
      <c r="Z24" s="607">
        <v>1684.59</v>
      </c>
      <c r="AA24" s="607">
        <v>9546.0400000000009</v>
      </c>
      <c r="AB24" s="607">
        <v>157005.26</v>
      </c>
      <c r="AC24" s="607">
        <v>886432</v>
      </c>
      <c r="AD24" s="607">
        <v>86.08</v>
      </c>
      <c r="AE24" s="607">
        <v>810856.98</v>
      </c>
      <c r="AF24" s="148"/>
      <c r="AG24" s="148"/>
      <c r="AH24" s="148"/>
      <c r="AI24" s="607">
        <v>16.09</v>
      </c>
      <c r="AJ24" s="607">
        <v>148643.81</v>
      </c>
      <c r="AK24" s="148"/>
      <c r="AL24" s="148"/>
      <c r="AM24" s="148"/>
      <c r="AN24" s="607"/>
      <c r="AO24" s="607"/>
      <c r="AP24" s="148"/>
      <c r="AQ24" s="168">
        <v>8.7311491370201111E-11</v>
      </c>
      <c r="AR24" s="238">
        <v>119185.85</v>
      </c>
      <c r="AU24" s="633">
        <f t="shared" si="3"/>
        <v>0</v>
      </c>
      <c r="AX24" s="358">
        <v>18</v>
      </c>
      <c r="AY24" s="301" t="s">
        <v>478</v>
      </c>
      <c r="AZ24" s="139" t="s">
        <v>479</v>
      </c>
      <c r="BA24" s="633">
        <f t="shared" si="4"/>
        <v>0</v>
      </c>
      <c r="BC24" s="196">
        <v>18</v>
      </c>
      <c r="BD24" s="73" t="s">
        <v>478</v>
      </c>
      <c r="BE24" s="139" t="s">
        <v>479</v>
      </c>
      <c r="BF24" s="168">
        <v>8.7311491370201111E-11</v>
      </c>
      <c r="BG24" s="168">
        <v>106306.25000000003</v>
      </c>
    </row>
    <row r="25" spans="1:59">
      <c r="A25" s="139" t="s">
        <v>248</v>
      </c>
      <c r="B25" s="233" t="s">
        <v>247</v>
      </c>
      <c r="C25" s="233" t="str">
        <f t="shared" si="2"/>
        <v>09075 BRIDGEPORT SCHOOL DISTRICT</v>
      </c>
      <c r="D25" s="607"/>
      <c r="E25" s="607">
        <v>43270.8</v>
      </c>
      <c r="F25" s="607">
        <v>10019.76</v>
      </c>
      <c r="G25" s="607">
        <v>1068154.81</v>
      </c>
      <c r="H25" s="607">
        <v>181951.72</v>
      </c>
      <c r="I25" s="607">
        <v>243062.78</v>
      </c>
      <c r="J25" s="607">
        <v>480156.76</v>
      </c>
      <c r="K25" s="607">
        <v>713348.12</v>
      </c>
      <c r="L25" s="607">
        <v>22327.74</v>
      </c>
      <c r="M25" s="607">
        <v>230937.91</v>
      </c>
      <c r="N25" s="608">
        <v>4.4299999999999999E-2</v>
      </c>
      <c r="O25" s="608">
        <v>0.20280000000000001</v>
      </c>
      <c r="P25" s="607"/>
      <c r="Q25" s="607"/>
      <c r="R25" s="607"/>
      <c r="S25" s="607"/>
      <c r="T25" s="607"/>
      <c r="U25" s="607"/>
      <c r="V25" s="607"/>
      <c r="W25" s="607"/>
      <c r="X25" s="607"/>
      <c r="Y25" s="607">
        <v>604.71</v>
      </c>
      <c r="Z25" s="607">
        <v>17.09</v>
      </c>
      <c r="AA25" s="607">
        <v>17.09</v>
      </c>
      <c r="AB25" s="607">
        <v>52580.6</v>
      </c>
      <c r="AC25" s="607">
        <v>247127.35</v>
      </c>
      <c r="AD25" s="607">
        <v>25.19</v>
      </c>
      <c r="AE25" s="607">
        <v>237243.25</v>
      </c>
      <c r="AF25" s="148"/>
      <c r="AG25" s="148"/>
      <c r="AH25" s="148"/>
      <c r="AI25" s="607">
        <v>5.36</v>
      </c>
      <c r="AJ25" s="607">
        <v>49520.08</v>
      </c>
      <c r="AK25" s="148"/>
      <c r="AL25" s="148"/>
      <c r="AM25" s="148"/>
      <c r="AN25" s="607">
        <v>2478.21</v>
      </c>
      <c r="AO25" s="607"/>
      <c r="AP25" s="148"/>
      <c r="AQ25" s="168">
        <v>88316.930000000022</v>
      </c>
      <c r="AR25" s="238">
        <v>93789.31</v>
      </c>
      <c r="AU25" s="633">
        <f t="shared" si="3"/>
        <v>0</v>
      </c>
      <c r="AX25" s="358">
        <v>19</v>
      </c>
      <c r="AY25" s="301" t="s">
        <v>247</v>
      </c>
      <c r="AZ25" s="139" t="s">
        <v>248</v>
      </c>
      <c r="BA25" s="633">
        <f t="shared" si="4"/>
        <v>0</v>
      </c>
      <c r="BC25" s="196">
        <v>19</v>
      </c>
      <c r="BD25" s="73" t="s">
        <v>247</v>
      </c>
      <c r="BE25" s="139" t="s">
        <v>248</v>
      </c>
      <c r="BF25" s="168">
        <v>88316.930000000022</v>
      </c>
      <c r="BG25" s="168">
        <v>84692.49</v>
      </c>
    </row>
    <row r="26" spans="1:59">
      <c r="A26" s="139" t="s">
        <v>331</v>
      </c>
      <c r="B26" s="233" t="s">
        <v>330</v>
      </c>
      <c r="C26" s="233" t="str">
        <f t="shared" si="2"/>
        <v>16046 BRINNON SCHOOL DISTRICT</v>
      </c>
      <c r="D26" s="607"/>
      <c r="E26" s="607"/>
      <c r="F26" s="607"/>
      <c r="G26" s="607">
        <v>91825.96</v>
      </c>
      <c r="H26" s="607">
        <v>14322.28</v>
      </c>
      <c r="I26" s="607">
        <v>23211.99</v>
      </c>
      <c r="J26" s="607">
        <v>38465.589999999997</v>
      </c>
      <c r="K26" s="607"/>
      <c r="L26" s="607">
        <v>2100.15</v>
      </c>
      <c r="M26" s="607">
        <v>150502.45000000001</v>
      </c>
      <c r="N26" s="608">
        <v>0.1138</v>
      </c>
      <c r="O26" s="608">
        <v>0.39300000000000002</v>
      </c>
      <c r="P26" s="607"/>
      <c r="Q26" s="607"/>
      <c r="R26" s="607"/>
      <c r="S26" s="607"/>
      <c r="T26" s="607"/>
      <c r="U26" s="607"/>
      <c r="V26" s="607"/>
      <c r="W26" s="607"/>
      <c r="X26" s="607"/>
      <c r="Y26" s="607">
        <v>60.63</v>
      </c>
      <c r="Z26" s="607"/>
      <c r="AA26" s="607"/>
      <c r="AB26" s="607"/>
      <c r="AC26" s="607"/>
      <c r="AD26" s="607"/>
      <c r="AE26" s="607"/>
      <c r="AF26" s="148"/>
      <c r="AG26" s="148"/>
      <c r="AH26" s="148"/>
      <c r="AI26" s="607"/>
      <c r="AJ26" s="607"/>
      <c r="AK26" s="148"/>
      <c r="AL26" s="148"/>
      <c r="AM26" s="148"/>
      <c r="AN26" s="607"/>
      <c r="AO26" s="607"/>
      <c r="AP26" s="148"/>
      <c r="AQ26" s="168">
        <v>1856.5900000000001</v>
      </c>
      <c r="AR26" s="238">
        <v>8129.55</v>
      </c>
      <c r="AU26" s="633">
        <f t="shared" si="3"/>
        <v>0</v>
      </c>
      <c r="AX26" s="358">
        <v>20</v>
      </c>
      <c r="AY26" s="301" t="s">
        <v>330</v>
      </c>
      <c r="AZ26" s="139" t="s">
        <v>331</v>
      </c>
      <c r="BA26" s="633">
        <f t="shared" si="4"/>
        <v>0</v>
      </c>
      <c r="BC26" s="196">
        <v>20</v>
      </c>
      <c r="BD26" s="73" t="s">
        <v>330</v>
      </c>
      <c r="BE26" s="139" t="s">
        <v>331</v>
      </c>
      <c r="BF26" s="168">
        <v>1856.5900000000001</v>
      </c>
      <c r="BG26" s="168">
        <v>7413.9100000000008</v>
      </c>
    </row>
    <row r="27" spans="1:59">
      <c r="A27" s="139" t="s">
        <v>1136</v>
      </c>
      <c r="B27" s="233" t="s">
        <v>545</v>
      </c>
      <c r="C27" s="233" t="str">
        <f t="shared" si="2"/>
        <v>29100 BURLINGTON EDISON SCHOOL DISTRICT</v>
      </c>
      <c r="D27" s="607"/>
      <c r="E27" s="607">
        <v>143158.04</v>
      </c>
      <c r="F27" s="607">
        <v>55132.55</v>
      </c>
      <c r="G27" s="607">
        <v>7587636.8200000003</v>
      </c>
      <c r="H27" s="607">
        <v>1311192.01</v>
      </c>
      <c r="I27" s="607">
        <v>850340.03</v>
      </c>
      <c r="J27" s="607">
        <v>1402323.69</v>
      </c>
      <c r="K27" s="607">
        <v>1413982.1</v>
      </c>
      <c r="L27" s="607">
        <v>107496.05</v>
      </c>
      <c r="M27" s="607">
        <v>2897716.3</v>
      </c>
      <c r="N27" s="608">
        <v>1.78E-2</v>
      </c>
      <c r="O27" s="608">
        <v>0.1157</v>
      </c>
      <c r="P27" s="607"/>
      <c r="Q27" s="607"/>
      <c r="R27" s="607"/>
      <c r="S27" s="607"/>
      <c r="T27" s="607"/>
      <c r="U27" s="607"/>
      <c r="V27" s="607"/>
      <c r="W27" s="607"/>
      <c r="X27" s="607"/>
      <c r="Y27" s="607">
        <v>1968.17</v>
      </c>
      <c r="Z27" s="607"/>
      <c r="AA27" s="607"/>
      <c r="AB27" s="607">
        <v>647435.63</v>
      </c>
      <c r="AC27" s="607">
        <v>2821002.62</v>
      </c>
      <c r="AD27" s="607">
        <v>253.53</v>
      </c>
      <c r="AE27" s="607">
        <v>2583164.35</v>
      </c>
      <c r="AF27" s="148"/>
      <c r="AG27" s="148"/>
      <c r="AH27" s="148"/>
      <c r="AI27" s="607">
        <v>59.27</v>
      </c>
      <c r="AJ27" s="607">
        <v>593338.64</v>
      </c>
      <c r="AK27" s="148"/>
      <c r="AL27" s="148"/>
      <c r="AM27" s="148"/>
      <c r="AN27" s="607">
        <v>1482.37</v>
      </c>
      <c r="AO27" s="607"/>
      <c r="AP27" s="148"/>
      <c r="AQ27" s="168">
        <v>0</v>
      </c>
      <c r="AR27" s="238">
        <v>406468.74</v>
      </c>
      <c r="AU27" s="633">
        <f t="shared" si="3"/>
        <v>0</v>
      </c>
      <c r="AX27" s="358">
        <v>21</v>
      </c>
      <c r="AY27" s="301" t="s">
        <v>545</v>
      </c>
      <c r="AZ27" s="139" t="s">
        <v>1136</v>
      </c>
      <c r="BA27" s="633">
        <f t="shared" si="4"/>
        <v>0</v>
      </c>
      <c r="BC27" s="196">
        <v>21</v>
      </c>
      <c r="BD27" s="73" t="s">
        <v>545</v>
      </c>
      <c r="BE27" s="139" t="s">
        <v>1136</v>
      </c>
      <c r="BF27" s="168">
        <v>0</v>
      </c>
      <c r="BG27" s="168">
        <v>345622.77</v>
      </c>
    </row>
    <row r="28" spans="1:59">
      <c r="A28" s="139" t="s">
        <v>224</v>
      </c>
      <c r="B28" s="233" t="s">
        <v>223</v>
      </c>
      <c r="C28" s="233" t="str">
        <f t="shared" si="2"/>
        <v>06117 CAMAS SCHOOL DISTRICT</v>
      </c>
      <c r="D28" s="607"/>
      <c r="E28" s="607"/>
      <c r="F28" s="607"/>
      <c r="G28" s="607">
        <v>14569001.039999999</v>
      </c>
      <c r="H28" s="607">
        <v>2195544.94</v>
      </c>
      <c r="I28" s="607"/>
      <c r="J28" s="607">
        <v>991888.64</v>
      </c>
      <c r="K28" s="607">
        <v>617941.65</v>
      </c>
      <c r="L28" s="607">
        <v>242693.61</v>
      </c>
      <c r="M28" s="607">
        <v>4268009.1100000003</v>
      </c>
      <c r="N28" s="608">
        <v>5.2999999999999999E-2</v>
      </c>
      <c r="O28" s="608">
        <v>0.1401</v>
      </c>
      <c r="P28" s="607"/>
      <c r="Q28" s="607"/>
      <c r="R28" s="607"/>
      <c r="S28" s="607"/>
      <c r="T28" s="607"/>
      <c r="U28" s="607"/>
      <c r="V28" s="607"/>
      <c r="W28" s="607"/>
      <c r="X28" s="607"/>
      <c r="Y28" s="607">
        <v>5028.59</v>
      </c>
      <c r="Z28" s="607"/>
      <c r="AA28" s="607">
        <v>12545.42</v>
      </c>
      <c r="AB28" s="607">
        <v>368206.76</v>
      </c>
      <c r="AC28" s="607">
        <v>4229372.4400000004</v>
      </c>
      <c r="AD28" s="607">
        <v>406.6</v>
      </c>
      <c r="AE28" s="607">
        <v>4061599.31</v>
      </c>
      <c r="AF28" s="148"/>
      <c r="AG28" s="148"/>
      <c r="AH28" s="148"/>
      <c r="AI28" s="607">
        <v>35.54</v>
      </c>
      <c r="AJ28" s="607">
        <v>348551.57</v>
      </c>
      <c r="AK28" s="148"/>
      <c r="AL28" s="148"/>
      <c r="AM28" s="148"/>
      <c r="AN28" s="607"/>
      <c r="AO28" s="607"/>
      <c r="AP28" s="148"/>
      <c r="AQ28" s="168">
        <v>135303.09999999986</v>
      </c>
      <c r="AR28" s="238">
        <v>759136.55999999994</v>
      </c>
      <c r="AU28" s="633">
        <f t="shared" si="3"/>
        <v>0</v>
      </c>
      <c r="AX28" s="358">
        <v>22</v>
      </c>
      <c r="AY28" s="301" t="s">
        <v>223</v>
      </c>
      <c r="AZ28" s="139" t="s">
        <v>224</v>
      </c>
      <c r="BA28" s="633">
        <f t="shared" si="4"/>
        <v>0</v>
      </c>
      <c r="BC28" s="196">
        <v>22</v>
      </c>
      <c r="BD28" s="73" t="s">
        <v>223</v>
      </c>
      <c r="BE28" s="139" t="s">
        <v>224</v>
      </c>
      <c r="BF28" s="168">
        <v>135303.09999999986</v>
      </c>
      <c r="BG28" s="168">
        <v>671236.33</v>
      </c>
    </row>
    <row r="29" spans="1:59">
      <c r="A29" s="139" t="s">
        <v>210</v>
      </c>
      <c r="B29" s="233" t="s">
        <v>209</v>
      </c>
      <c r="C29" s="233" t="str">
        <f t="shared" si="2"/>
        <v>05401 CAPE FLATTERY SCHOOL DISTRICT</v>
      </c>
      <c r="D29" s="607"/>
      <c r="E29" s="607"/>
      <c r="F29" s="607"/>
      <c r="G29" s="607">
        <v>1078754.3400000001</v>
      </c>
      <c r="H29" s="607">
        <v>175076.79</v>
      </c>
      <c r="I29" s="607">
        <v>156404.65</v>
      </c>
      <c r="J29" s="607">
        <v>250800.13</v>
      </c>
      <c r="K29" s="607"/>
      <c r="L29" s="607">
        <v>15143.06</v>
      </c>
      <c r="M29" s="607">
        <v>334888.40000000002</v>
      </c>
      <c r="N29" s="608">
        <v>6.4100000000000004E-2</v>
      </c>
      <c r="O29" s="608">
        <v>0.23</v>
      </c>
      <c r="P29" s="607"/>
      <c r="Q29" s="607"/>
      <c r="R29" s="607"/>
      <c r="S29" s="607"/>
      <c r="T29" s="607"/>
      <c r="U29" s="607"/>
      <c r="V29" s="607"/>
      <c r="W29" s="607"/>
      <c r="X29" s="607"/>
      <c r="Y29" s="607">
        <v>394.13</v>
      </c>
      <c r="Z29" s="607"/>
      <c r="AA29" s="607"/>
      <c r="AB29" s="607"/>
      <c r="AC29" s="607">
        <v>119239.45</v>
      </c>
      <c r="AD29" s="607">
        <v>10.14</v>
      </c>
      <c r="AE29" s="607">
        <v>95432.29</v>
      </c>
      <c r="AF29" s="148"/>
      <c r="AG29" s="148"/>
      <c r="AH29" s="148"/>
      <c r="AI29" s="607"/>
      <c r="AJ29" s="607"/>
      <c r="AK29" s="148"/>
      <c r="AL29" s="148"/>
      <c r="AM29" s="148"/>
      <c r="AN29" s="607">
        <v>2000</v>
      </c>
      <c r="AO29" s="607"/>
      <c r="AP29" s="148"/>
      <c r="AQ29" s="168">
        <v>19062.129999999976</v>
      </c>
      <c r="AR29" s="238">
        <v>74677.200000000012</v>
      </c>
      <c r="AU29" s="633">
        <f t="shared" si="3"/>
        <v>0</v>
      </c>
      <c r="AX29" s="358">
        <v>23</v>
      </c>
      <c r="AY29" s="301" t="s">
        <v>209</v>
      </c>
      <c r="AZ29" s="139" t="s">
        <v>210</v>
      </c>
      <c r="BA29" s="633">
        <f t="shared" si="4"/>
        <v>0</v>
      </c>
      <c r="BC29" s="196">
        <v>23</v>
      </c>
      <c r="BD29" s="73" t="s">
        <v>209</v>
      </c>
      <c r="BE29" s="139" t="s">
        <v>210</v>
      </c>
      <c r="BF29" s="168">
        <v>19062.129999999976</v>
      </c>
      <c r="BG29" s="168">
        <v>65488.530000000013</v>
      </c>
    </row>
    <row r="30" spans="1:59">
      <c r="A30" s="139" t="s">
        <v>512</v>
      </c>
      <c r="B30" s="233" t="s">
        <v>511</v>
      </c>
      <c r="C30" s="233" t="str">
        <f t="shared" si="2"/>
        <v>27019 CARBONADO SCHOOL DISTRICT</v>
      </c>
      <c r="D30" s="607"/>
      <c r="E30" s="607"/>
      <c r="F30" s="607"/>
      <c r="G30" s="607">
        <v>318457.98</v>
      </c>
      <c r="H30" s="607">
        <v>47473.8</v>
      </c>
      <c r="I30" s="607"/>
      <c r="J30" s="607">
        <v>44971.51</v>
      </c>
      <c r="K30" s="607"/>
      <c r="L30" s="607">
        <v>5694.08</v>
      </c>
      <c r="M30" s="607">
        <v>96172.64</v>
      </c>
      <c r="N30" s="608">
        <v>7.51E-2</v>
      </c>
      <c r="O30" s="608">
        <v>0.28239999999999998</v>
      </c>
      <c r="P30" s="607"/>
      <c r="Q30" s="607"/>
      <c r="R30" s="607"/>
      <c r="S30" s="607"/>
      <c r="T30" s="607"/>
      <c r="U30" s="607"/>
      <c r="V30" s="607"/>
      <c r="W30" s="607"/>
      <c r="X30" s="607"/>
      <c r="Y30" s="607"/>
      <c r="Z30" s="607"/>
      <c r="AA30" s="607"/>
      <c r="AB30" s="607"/>
      <c r="AC30" s="607"/>
      <c r="AD30" s="607"/>
      <c r="AE30" s="607"/>
      <c r="AF30" s="148"/>
      <c r="AG30" s="148"/>
      <c r="AH30" s="148"/>
      <c r="AI30" s="607"/>
      <c r="AJ30" s="607"/>
      <c r="AK30" s="148"/>
      <c r="AL30" s="148"/>
      <c r="AM30" s="148"/>
      <c r="AN30" s="607"/>
      <c r="AO30" s="607"/>
      <c r="AP30" s="148"/>
      <c r="AQ30" s="168">
        <v>10033.029999999995</v>
      </c>
      <c r="AR30" s="238">
        <v>19189.240000000002</v>
      </c>
      <c r="AU30" s="633">
        <f t="shared" si="3"/>
        <v>0</v>
      </c>
      <c r="AX30" s="358">
        <v>24</v>
      </c>
      <c r="AY30" s="301" t="s">
        <v>511</v>
      </c>
      <c r="AZ30" s="139" t="s">
        <v>512</v>
      </c>
      <c r="BA30" s="633">
        <f t="shared" si="4"/>
        <v>0</v>
      </c>
      <c r="BC30" s="196">
        <v>24</v>
      </c>
      <c r="BD30" s="73" t="s">
        <v>511</v>
      </c>
      <c r="BE30" s="139" t="s">
        <v>512</v>
      </c>
      <c r="BF30" s="168">
        <v>10033.029999999995</v>
      </c>
      <c r="BG30" s="168">
        <v>16451.660000000003</v>
      </c>
    </row>
    <row r="31" spans="1:59">
      <c r="A31" s="139" t="s">
        <v>200</v>
      </c>
      <c r="B31" s="233" t="s">
        <v>199</v>
      </c>
      <c r="C31" s="233" t="str">
        <f t="shared" si="2"/>
        <v>04228 CASCADE SCHOOL DISTRICT</v>
      </c>
      <c r="D31" s="607"/>
      <c r="E31" s="607">
        <v>2748.97</v>
      </c>
      <c r="F31" s="607">
        <v>494.54</v>
      </c>
      <c r="G31" s="607"/>
      <c r="H31" s="607">
        <v>279376</v>
      </c>
      <c r="I31" s="607"/>
      <c r="J31" s="607">
        <v>386756.11</v>
      </c>
      <c r="K31" s="607">
        <v>244177.83</v>
      </c>
      <c r="L31" s="607">
        <v>37802.400000000001</v>
      </c>
      <c r="M31" s="607">
        <v>997898.36</v>
      </c>
      <c r="N31" s="608"/>
      <c r="O31" s="608">
        <v>0.15809999999999999</v>
      </c>
      <c r="P31" s="607"/>
      <c r="Q31" s="607"/>
      <c r="R31" s="607"/>
      <c r="S31" s="607"/>
      <c r="T31" s="607"/>
      <c r="U31" s="607"/>
      <c r="V31" s="607"/>
      <c r="W31" s="607"/>
      <c r="X31" s="607"/>
      <c r="Y31" s="607">
        <v>983.27</v>
      </c>
      <c r="Z31" s="607">
        <v>15264.49</v>
      </c>
      <c r="AA31" s="607">
        <v>57423.56</v>
      </c>
      <c r="AB31" s="607">
        <v>570702.85</v>
      </c>
      <c r="AC31" s="607">
        <v>1345430.62</v>
      </c>
      <c r="AD31" s="607">
        <v>127.54</v>
      </c>
      <c r="AE31" s="607">
        <v>1201338.55</v>
      </c>
      <c r="AF31" s="148"/>
      <c r="AG31" s="148"/>
      <c r="AH31" s="148"/>
      <c r="AI31" s="607">
        <v>55.56</v>
      </c>
      <c r="AJ31" s="607">
        <v>513302.4</v>
      </c>
      <c r="AK31" s="148"/>
      <c r="AL31" s="148"/>
      <c r="AM31" s="148"/>
      <c r="AN31" s="607">
        <v>1928.69</v>
      </c>
      <c r="AO31" s="607"/>
      <c r="AP31" s="148"/>
      <c r="AQ31" s="168">
        <v>0</v>
      </c>
      <c r="AR31" s="238">
        <v>112718.90999999999</v>
      </c>
      <c r="AU31" s="633">
        <f t="shared" si="3"/>
        <v>0</v>
      </c>
      <c r="AX31" s="358">
        <v>25</v>
      </c>
      <c r="AY31" s="301" t="s">
        <v>199</v>
      </c>
      <c r="AZ31" s="139" t="s">
        <v>200</v>
      </c>
      <c r="BA31" s="633">
        <f t="shared" si="4"/>
        <v>0</v>
      </c>
      <c r="BC31" s="196">
        <v>25</v>
      </c>
      <c r="BD31" s="73" t="s">
        <v>199</v>
      </c>
      <c r="BE31" s="139" t="s">
        <v>200</v>
      </c>
      <c r="BF31" s="168">
        <v>0</v>
      </c>
      <c r="BG31" s="168">
        <v>112806.62999999999</v>
      </c>
    </row>
    <row r="32" spans="1:59">
      <c r="A32" s="139" t="s">
        <v>198</v>
      </c>
      <c r="B32" s="233" t="s">
        <v>197</v>
      </c>
      <c r="C32" s="233" t="str">
        <f t="shared" si="2"/>
        <v>04222 CASHMERE SCHOOL DISTRICT</v>
      </c>
      <c r="D32" s="607"/>
      <c r="E32" s="607">
        <v>35395.85</v>
      </c>
      <c r="F32" s="607">
        <v>17701.71</v>
      </c>
      <c r="G32" s="607">
        <v>2303162.0699999998</v>
      </c>
      <c r="H32" s="607">
        <v>321852.42</v>
      </c>
      <c r="I32" s="607"/>
      <c r="J32" s="607">
        <v>543472.92000000004</v>
      </c>
      <c r="K32" s="607">
        <v>333306.45</v>
      </c>
      <c r="L32" s="607">
        <v>51889.95</v>
      </c>
      <c r="M32" s="607">
        <v>602759.86</v>
      </c>
      <c r="N32" s="608">
        <v>3.4700000000000002E-2</v>
      </c>
      <c r="O32" s="608">
        <v>0.15720000000000001</v>
      </c>
      <c r="P32" s="607"/>
      <c r="Q32" s="607"/>
      <c r="R32" s="607"/>
      <c r="S32" s="607"/>
      <c r="T32" s="607"/>
      <c r="U32" s="607"/>
      <c r="V32" s="607"/>
      <c r="W32" s="607"/>
      <c r="X32" s="607"/>
      <c r="Y32" s="607"/>
      <c r="Z32" s="607">
        <v>10351.459999999999</v>
      </c>
      <c r="AA32" s="607">
        <v>102164.44</v>
      </c>
      <c r="AB32" s="607">
        <v>470768.15</v>
      </c>
      <c r="AC32" s="607">
        <v>1442890.16</v>
      </c>
      <c r="AD32" s="607">
        <v>138.65</v>
      </c>
      <c r="AE32" s="607">
        <v>1331678.6100000001</v>
      </c>
      <c r="AF32" s="148"/>
      <c r="AG32" s="148"/>
      <c r="AH32" s="148"/>
      <c r="AI32" s="607">
        <v>46.51</v>
      </c>
      <c r="AJ32" s="607">
        <v>438271.15</v>
      </c>
      <c r="AK32" s="148"/>
      <c r="AL32" s="148"/>
      <c r="AM32" s="148"/>
      <c r="AN32" s="607">
        <v>398.5</v>
      </c>
      <c r="AO32" s="607"/>
      <c r="AP32" s="148"/>
      <c r="AQ32" s="168">
        <v>0</v>
      </c>
      <c r="AR32" s="238">
        <v>169157.07999999996</v>
      </c>
      <c r="AU32" s="633">
        <f t="shared" si="3"/>
        <v>0</v>
      </c>
      <c r="AX32" s="358">
        <v>26</v>
      </c>
      <c r="AY32" s="301" t="s">
        <v>197</v>
      </c>
      <c r="AZ32" s="139" t="s">
        <v>198</v>
      </c>
      <c r="BA32" s="633">
        <f t="shared" si="4"/>
        <v>0</v>
      </c>
      <c r="BC32" s="196">
        <v>26</v>
      </c>
      <c r="BD32" s="73" t="s">
        <v>197</v>
      </c>
      <c r="BE32" s="139" t="s">
        <v>198</v>
      </c>
      <c r="BF32" s="168">
        <v>0</v>
      </c>
      <c r="BG32" s="168">
        <v>154582.16999999998</v>
      </c>
    </row>
    <row r="33" spans="1:59">
      <c r="A33" s="139" t="s">
        <v>238</v>
      </c>
      <c r="B33" s="233" t="s">
        <v>237</v>
      </c>
      <c r="C33" s="233" t="str">
        <f t="shared" si="2"/>
        <v>08401 CASTLE ROCK SCHOOL DISTRICT</v>
      </c>
      <c r="D33" s="607"/>
      <c r="E33" s="607"/>
      <c r="F33" s="607"/>
      <c r="G33" s="607">
        <v>2948464.87</v>
      </c>
      <c r="H33" s="607">
        <v>486267.62</v>
      </c>
      <c r="I33" s="607">
        <v>324746.89</v>
      </c>
      <c r="J33" s="607">
        <v>520059.27</v>
      </c>
      <c r="K33" s="607">
        <v>44693.26</v>
      </c>
      <c r="L33" s="607">
        <v>43992.26</v>
      </c>
      <c r="M33" s="607">
        <v>1097811.8700000001</v>
      </c>
      <c r="N33" s="608">
        <v>3.8100000000000002E-2</v>
      </c>
      <c r="O33" s="608">
        <v>0.17949999999999999</v>
      </c>
      <c r="P33" s="607"/>
      <c r="Q33" s="607"/>
      <c r="R33" s="607"/>
      <c r="S33" s="607"/>
      <c r="T33" s="607"/>
      <c r="U33" s="607"/>
      <c r="V33" s="607"/>
      <c r="W33" s="607"/>
      <c r="X33" s="607"/>
      <c r="Y33" s="607">
        <v>1160.25</v>
      </c>
      <c r="Z33" s="607">
        <v>3077.22</v>
      </c>
      <c r="AA33" s="607">
        <v>99496.9</v>
      </c>
      <c r="AB33" s="607">
        <v>64637.56</v>
      </c>
      <c r="AC33" s="607">
        <v>993802.04</v>
      </c>
      <c r="AD33" s="607">
        <v>92.01</v>
      </c>
      <c r="AE33" s="607">
        <v>866646.77</v>
      </c>
      <c r="AF33" s="148"/>
      <c r="AG33" s="148"/>
      <c r="AH33" s="148"/>
      <c r="AI33" s="607">
        <v>6.53</v>
      </c>
      <c r="AJ33" s="607">
        <v>60287.31</v>
      </c>
      <c r="AK33" s="148"/>
      <c r="AL33" s="148"/>
      <c r="AM33" s="148"/>
      <c r="AN33" s="607"/>
      <c r="AO33" s="607"/>
      <c r="AP33" s="148"/>
      <c r="AQ33" s="168">
        <v>9108.7599999999802</v>
      </c>
      <c r="AR33" s="238">
        <v>154477.84</v>
      </c>
      <c r="AU33" s="633">
        <f t="shared" si="3"/>
        <v>0</v>
      </c>
      <c r="AX33" s="358">
        <v>27</v>
      </c>
      <c r="AY33" s="301" t="s">
        <v>237</v>
      </c>
      <c r="AZ33" s="139" t="s">
        <v>238</v>
      </c>
      <c r="BA33" s="633">
        <f t="shared" si="4"/>
        <v>0</v>
      </c>
      <c r="BC33" s="196">
        <v>27</v>
      </c>
      <c r="BD33" s="73" t="s">
        <v>237</v>
      </c>
      <c r="BE33" s="139" t="s">
        <v>238</v>
      </c>
      <c r="BF33" s="168">
        <v>9108.7599999999802</v>
      </c>
      <c r="BG33" s="168">
        <v>129395.55</v>
      </c>
    </row>
    <row r="34" spans="1:59">
      <c r="A34" s="73" t="s">
        <v>1579</v>
      </c>
      <c r="B34" s="233" t="s">
        <v>1575</v>
      </c>
      <c r="C34" s="233" t="str">
        <f>CONCATENATE(B34," ",A34," PUBLIC SCHOOLS CHARTER")</f>
        <v>18901 CATALYST PUBLIC SCHOOLS CHARTER</v>
      </c>
      <c r="D34" s="607"/>
      <c r="E34" s="607"/>
      <c r="F34" s="607"/>
      <c r="G34" s="607">
        <v>1489151.47</v>
      </c>
      <c r="H34" s="607">
        <v>246990.04</v>
      </c>
      <c r="I34" s="607"/>
      <c r="J34" s="607">
        <v>209691.78</v>
      </c>
      <c r="K34" s="607">
        <v>11950</v>
      </c>
      <c r="L34" s="607">
        <v>19004.900000000001</v>
      </c>
      <c r="M34" s="607">
        <v>499986.85</v>
      </c>
      <c r="N34" s="608">
        <v>3.8699999999999998E-2</v>
      </c>
      <c r="O34" s="608">
        <v>0.1535</v>
      </c>
      <c r="P34" s="607"/>
      <c r="Q34" s="607"/>
      <c r="R34" s="607"/>
      <c r="S34" s="607"/>
      <c r="T34" s="607"/>
      <c r="U34" s="607"/>
      <c r="V34" s="607"/>
      <c r="W34" s="607"/>
      <c r="X34" s="607"/>
      <c r="Y34" s="607"/>
      <c r="Z34" s="607"/>
      <c r="AA34" s="607"/>
      <c r="AB34" s="607"/>
      <c r="AC34" s="607"/>
      <c r="AD34" s="607"/>
      <c r="AE34" s="607"/>
      <c r="AF34" s="148"/>
      <c r="AG34" s="148"/>
      <c r="AH34" s="148"/>
      <c r="AI34" s="607"/>
      <c r="AJ34" s="607"/>
      <c r="AK34" s="148"/>
      <c r="AL34" s="148"/>
      <c r="AM34" s="148"/>
      <c r="AN34" s="607"/>
      <c r="AO34" s="607"/>
      <c r="AP34" s="148"/>
      <c r="AQ34" s="168">
        <v>50709.749999999985</v>
      </c>
      <c r="AR34" s="238">
        <v>81595.090000000011</v>
      </c>
      <c r="AU34" s="633">
        <f t="shared" si="3"/>
        <v>0</v>
      </c>
      <c r="AX34" s="358">
        <v>28</v>
      </c>
      <c r="AY34" s="302" t="s">
        <v>1575</v>
      </c>
      <c r="AZ34" s="73" t="s">
        <v>1579</v>
      </c>
      <c r="BA34" s="633">
        <f t="shared" si="4"/>
        <v>0</v>
      </c>
      <c r="BC34" s="196">
        <v>28</v>
      </c>
      <c r="BD34" s="172" t="s">
        <v>1575</v>
      </c>
      <c r="BE34" s="73" t="s">
        <v>1579</v>
      </c>
      <c r="BF34" s="168">
        <v>50709.749999999985</v>
      </c>
      <c r="BG34" s="168">
        <v>71376.37000000001</v>
      </c>
    </row>
    <row r="35" spans="1:59">
      <c r="A35" s="139" t="s">
        <v>401</v>
      </c>
      <c r="B35" s="233" t="s">
        <v>400</v>
      </c>
      <c r="C35" s="233" t="str">
        <f t="shared" ref="C35:C41" si="5">CONCATENATE(B35," ",A35," SCHOOL DISTRICT")</f>
        <v>20215 CENTERVILLE SCHOOL DISTRICT</v>
      </c>
      <c r="D35" s="607"/>
      <c r="E35" s="607"/>
      <c r="F35" s="607"/>
      <c r="G35" s="607"/>
      <c r="H35" s="607">
        <v>26689.19</v>
      </c>
      <c r="I35" s="607"/>
      <c r="J35" s="607">
        <v>23875.19</v>
      </c>
      <c r="K35" s="607"/>
      <c r="L35" s="607">
        <v>2984.39</v>
      </c>
      <c r="M35" s="607">
        <v>205290.37</v>
      </c>
      <c r="N35" s="608">
        <v>7.4899999999999994E-2</v>
      </c>
      <c r="O35" s="608">
        <v>0.26860000000000001</v>
      </c>
      <c r="P35" s="607"/>
      <c r="Q35" s="607"/>
      <c r="R35" s="607"/>
      <c r="S35" s="607"/>
      <c r="T35" s="607"/>
      <c r="U35" s="607"/>
      <c r="V35" s="607"/>
      <c r="W35" s="607"/>
      <c r="X35" s="607"/>
      <c r="Y35" s="607">
        <v>77.02</v>
      </c>
      <c r="Z35" s="607"/>
      <c r="AA35" s="607"/>
      <c r="AB35" s="607"/>
      <c r="AC35" s="607"/>
      <c r="AD35" s="607"/>
      <c r="AE35" s="607"/>
      <c r="AF35" s="148"/>
      <c r="AG35" s="148"/>
      <c r="AH35" s="148"/>
      <c r="AI35" s="607"/>
      <c r="AJ35" s="607"/>
      <c r="AK35" s="148"/>
      <c r="AL35" s="148"/>
      <c r="AM35" s="148"/>
      <c r="AN35" s="607"/>
      <c r="AO35" s="607"/>
      <c r="AP35" s="148"/>
      <c r="AQ35" s="168">
        <v>10158.869999999995</v>
      </c>
      <c r="AR35" s="238">
        <v>10098.040000000001</v>
      </c>
      <c r="AU35" s="633">
        <f t="shared" si="3"/>
        <v>0</v>
      </c>
      <c r="AX35" s="358">
        <v>29</v>
      </c>
      <c r="AY35" s="301" t="s">
        <v>400</v>
      </c>
      <c r="AZ35" s="139" t="s">
        <v>401</v>
      </c>
      <c r="BA35" s="633">
        <f t="shared" si="4"/>
        <v>0</v>
      </c>
      <c r="BC35" s="196">
        <v>29</v>
      </c>
      <c r="BD35" s="73" t="s">
        <v>400</v>
      </c>
      <c r="BE35" s="139" t="s">
        <v>401</v>
      </c>
      <c r="BF35" s="168">
        <v>10158.869999999995</v>
      </c>
      <c r="BG35" s="168">
        <v>10192.220000000001</v>
      </c>
    </row>
    <row r="36" spans="1:59">
      <c r="A36" s="139" t="s">
        <v>381</v>
      </c>
      <c r="B36" s="233" t="s">
        <v>380</v>
      </c>
      <c r="C36" s="233" t="str">
        <f t="shared" si="5"/>
        <v>18401 CENTRAL KITSAP SCHOOL DISTRICT</v>
      </c>
      <c r="D36" s="607"/>
      <c r="E36" s="607">
        <v>310293.61</v>
      </c>
      <c r="F36" s="607">
        <v>66732.27</v>
      </c>
      <c r="G36" s="607">
        <v>30517217.359999999</v>
      </c>
      <c r="H36" s="607">
        <v>4400262.45</v>
      </c>
      <c r="I36" s="607">
        <v>655506.80000000005</v>
      </c>
      <c r="J36" s="607">
        <v>3591105.72</v>
      </c>
      <c r="K36" s="607">
        <v>1040268.34</v>
      </c>
      <c r="L36" s="607">
        <v>410216.98</v>
      </c>
      <c r="M36" s="607">
        <v>7526664.4299999997</v>
      </c>
      <c r="N36" s="608">
        <v>3.6999999999999998E-2</v>
      </c>
      <c r="O36" s="608">
        <v>0.14330000000000001</v>
      </c>
      <c r="P36" s="607"/>
      <c r="Q36" s="607"/>
      <c r="R36" s="607"/>
      <c r="S36" s="607"/>
      <c r="T36" s="607"/>
      <c r="U36" s="607"/>
      <c r="V36" s="607"/>
      <c r="W36" s="607"/>
      <c r="X36" s="607"/>
      <c r="Y36" s="607">
        <v>8739.6</v>
      </c>
      <c r="Z36" s="607">
        <v>107393.22</v>
      </c>
      <c r="AA36" s="607">
        <v>568035.82999999996</v>
      </c>
      <c r="AB36" s="607">
        <v>1319456.4099999999</v>
      </c>
      <c r="AC36" s="607">
        <v>7492085.5700000003</v>
      </c>
      <c r="AD36" s="607">
        <v>643.28</v>
      </c>
      <c r="AE36" s="607">
        <v>6920897.1500000004</v>
      </c>
      <c r="AF36" s="148"/>
      <c r="AG36" s="148"/>
      <c r="AH36" s="148"/>
      <c r="AI36" s="607">
        <v>116.53</v>
      </c>
      <c r="AJ36" s="607">
        <v>1233151.81</v>
      </c>
      <c r="AK36" s="148"/>
      <c r="AL36" s="148"/>
      <c r="AM36" s="148"/>
      <c r="AN36" s="607">
        <v>18542.349999999999</v>
      </c>
      <c r="AO36" s="607"/>
      <c r="AP36" s="148"/>
      <c r="AQ36" s="168">
        <v>338.30999999982305</v>
      </c>
      <c r="AR36" s="238">
        <v>1347084.53</v>
      </c>
      <c r="AU36" s="633">
        <f t="shared" si="3"/>
        <v>0</v>
      </c>
      <c r="AX36" s="358">
        <v>30</v>
      </c>
      <c r="AY36" s="301" t="s">
        <v>380</v>
      </c>
      <c r="AZ36" s="139" t="s">
        <v>381</v>
      </c>
      <c r="BA36" s="633">
        <f t="shared" si="4"/>
        <v>0</v>
      </c>
      <c r="BC36" s="196">
        <v>30</v>
      </c>
      <c r="BD36" s="73" t="s">
        <v>380</v>
      </c>
      <c r="BE36" s="139" t="s">
        <v>381</v>
      </c>
      <c r="BF36" s="168">
        <v>338.30999999982305</v>
      </c>
      <c r="BG36" s="168">
        <v>1166653.33</v>
      </c>
    </row>
    <row r="37" spans="1:59">
      <c r="A37" s="139" t="s">
        <v>605</v>
      </c>
      <c r="B37" s="233" t="s">
        <v>604</v>
      </c>
      <c r="C37" s="233" t="str">
        <f t="shared" si="5"/>
        <v>32356 CENTRAL VALLEY SCHOOL DISTRICT</v>
      </c>
      <c r="D37" s="607"/>
      <c r="E37" s="607">
        <v>89219.6</v>
      </c>
      <c r="F37" s="607">
        <v>20876.93</v>
      </c>
      <c r="G37" s="607">
        <v>32060062.120000001</v>
      </c>
      <c r="H37" s="607">
        <v>5236987.09</v>
      </c>
      <c r="I37" s="607">
        <v>1474291.72</v>
      </c>
      <c r="J37" s="607">
        <v>4594660.6500000004</v>
      </c>
      <c r="K37" s="607">
        <v>1636098.42</v>
      </c>
      <c r="L37" s="607">
        <v>469981.19</v>
      </c>
      <c r="M37" s="607">
        <v>7800342.7000000002</v>
      </c>
      <c r="N37" s="597">
        <v>3.2399999999999998E-2</v>
      </c>
      <c r="O37" s="608">
        <v>0.14680000000000001</v>
      </c>
      <c r="P37" s="607"/>
      <c r="Q37" s="607"/>
      <c r="R37" s="607"/>
      <c r="S37" s="607"/>
      <c r="T37" s="607"/>
      <c r="U37" s="607"/>
      <c r="V37" s="607"/>
      <c r="W37" s="607"/>
      <c r="X37" s="607"/>
      <c r="Y37" s="607">
        <v>9224.68</v>
      </c>
      <c r="Z37" s="607"/>
      <c r="AA37" s="607"/>
      <c r="AB37" s="607">
        <v>4679485.13</v>
      </c>
      <c r="AC37" s="607">
        <v>7648146.0199999996</v>
      </c>
      <c r="AD37" s="607">
        <v>728.66</v>
      </c>
      <c r="AE37" s="607">
        <v>6998676.4900000002</v>
      </c>
      <c r="AF37" s="148"/>
      <c r="AG37" s="148"/>
      <c r="AH37" s="148"/>
      <c r="AI37" s="607">
        <v>461.26</v>
      </c>
      <c r="AJ37" s="607">
        <v>4347224.25</v>
      </c>
      <c r="AK37" s="148"/>
      <c r="AL37" s="148"/>
      <c r="AM37" s="148"/>
      <c r="AN37" s="607"/>
      <c r="AO37" s="607"/>
      <c r="AP37" s="148"/>
      <c r="AQ37" s="168">
        <v>1427049.1199999994</v>
      </c>
      <c r="AR37" s="238">
        <v>1591229.1</v>
      </c>
      <c r="AU37" s="633">
        <f t="shared" si="3"/>
        <v>0</v>
      </c>
      <c r="AX37" s="358">
        <v>31</v>
      </c>
      <c r="AY37" s="301" t="s">
        <v>604</v>
      </c>
      <c r="AZ37" s="139" t="s">
        <v>605</v>
      </c>
      <c r="BA37" s="633">
        <f t="shared" si="4"/>
        <v>0</v>
      </c>
      <c r="BC37" s="196">
        <v>31</v>
      </c>
      <c r="BD37" s="73" t="s">
        <v>604</v>
      </c>
      <c r="BE37" s="139" t="s">
        <v>605</v>
      </c>
      <c r="BF37" s="168">
        <v>1427049.1199999994</v>
      </c>
      <c r="BG37" s="168">
        <v>1342636.04</v>
      </c>
    </row>
    <row r="38" spans="1:59">
      <c r="A38" s="139" t="s">
        <v>441</v>
      </c>
      <c r="B38" s="233" t="s">
        <v>440</v>
      </c>
      <c r="C38" s="233" t="str">
        <f t="shared" si="5"/>
        <v>21401 CENTRALIA SCHOOL DISTRICT</v>
      </c>
      <c r="D38" s="607"/>
      <c r="E38" s="607">
        <v>164037.26</v>
      </c>
      <c r="F38" s="607"/>
      <c r="G38" s="607">
        <v>7817091.2199999997</v>
      </c>
      <c r="H38" s="607">
        <v>1154742.5900000001</v>
      </c>
      <c r="I38" s="607">
        <v>1064878.04</v>
      </c>
      <c r="J38" s="607">
        <v>1670711.19</v>
      </c>
      <c r="K38" s="607">
        <v>944336</v>
      </c>
      <c r="L38" s="607">
        <v>103348.65</v>
      </c>
      <c r="M38" s="607">
        <v>2827281.27</v>
      </c>
      <c r="N38" s="608">
        <v>2.41E-2</v>
      </c>
      <c r="O38" s="608">
        <v>0.1139</v>
      </c>
      <c r="P38" s="607"/>
      <c r="Q38" s="607"/>
      <c r="R38" s="607"/>
      <c r="S38" s="607"/>
      <c r="T38" s="607"/>
      <c r="U38" s="607"/>
      <c r="V38" s="607"/>
      <c r="W38" s="607"/>
      <c r="X38" s="607"/>
      <c r="Y38" s="607">
        <v>2575.34</v>
      </c>
      <c r="Z38" s="607">
        <v>22350.81</v>
      </c>
      <c r="AA38" s="607">
        <v>52151.9</v>
      </c>
      <c r="AB38" s="607">
        <v>1091034.8899999999</v>
      </c>
      <c r="AC38" s="607">
        <v>3146147.82</v>
      </c>
      <c r="AD38" s="607">
        <v>299.02</v>
      </c>
      <c r="AE38" s="607">
        <v>2816416.95</v>
      </c>
      <c r="AF38" s="148"/>
      <c r="AG38" s="148"/>
      <c r="AH38" s="148"/>
      <c r="AI38" s="607">
        <v>108.83</v>
      </c>
      <c r="AJ38" s="607">
        <v>1005373.22</v>
      </c>
      <c r="AK38" s="148"/>
      <c r="AL38" s="148"/>
      <c r="AM38" s="148"/>
      <c r="AN38" s="607"/>
      <c r="AO38" s="607"/>
      <c r="AP38" s="148"/>
      <c r="AQ38" s="168">
        <v>251875.45</v>
      </c>
      <c r="AR38" s="238">
        <v>371119.76999999996</v>
      </c>
      <c r="AU38" s="633">
        <f t="shared" si="3"/>
        <v>0</v>
      </c>
      <c r="AX38" s="358">
        <v>32</v>
      </c>
      <c r="AY38" s="301" t="s">
        <v>440</v>
      </c>
      <c r="AZ38" s="139" t="s">
        <v>441</v>
      </c>
      <c r="BA38" s="633">
        <f t="shared" si="4"/>
        <v>0</v>
      </c>
      <c r="BC38" s="196">
        <v>32</v>
      </c>
      <c r="BD38" s="73" t="s">
        <v>440</v>
      </c>
      <c r="BE38" s="139" t="s">
        <v>441</v>
      </c>
      <c r="BF38" s="168">
        <v>251875.45</v>
      </c>
      <c r="BG38" s="168">
        <v>324704.44999999995</v>
      </c>
    </row>
    <row r="39" spans="1:59">
      <c r="A39" s="139" t="s">
        <v>437</v>
      </c>
      <c r="B39" s="233" t="s">
        <v>436</v>
      </c>
      <c r="C39" s="233" t="str">
        <f t="shared" si="5"/>
        <v>21302 CHEHALIS SCHOOL DISTRICT</v>
      </c>
      <c r="D39" s="607"/>
      <c r="E39" s="607"/>
      <c r="F39" s="607"/>
      <c r="G39" s="607">
        <v>5689231.7699999996</v>
      </c>
      <c r="H39" s="607">
        <v>950414.79</v>
      </c>
      <c r="I39" s="607">
        <v>551587.86</v>
      </c>
      <c r="J39" s="607">
        <v>1154837.08</v>
      </c>
      <c r="K39" s="607">
        <v>251811.5</v>
      </c>
      <c r="L39" s="607">
        <v>94979.19</v>
      </c>
      <c r="M39" s="607">
        <v>1911087.86</v>
      </c>
      <c r="N39" s="608">
        <v>3.3500000000000002E-2</v>
      </c>
      <c r="O39" s="608">
        <v>0.1691</v>
      </c>
      <c r="P39" s="607">
        <v>181128.88</v>
      </c>
      <c r="Q39" s="607">
        <v>18086.82</v>
      </c>
      <c r="R39" s="607">
        <v>7545.73</v>
      </c>
      <c r="S39" s="607">
        <v>3520415.58</v>
      </c>
      <c r="T39" s="607">
        <v>154079.16</v>
      </c>
      <c r="U39" s="607">
        <v>114549.91</v>
      </c>
      <c r="V39" s="607"/>
      <c r="W39" s="607"/>
      <c r="X39" s="607"/>
      <c r="Y39" s="607">
        <v>2463.08</v>
      </c>
      <c r="Z39" s="607"/>
      <c r="AA39" s="607"/>
      <c r="AB39" s="607"/>
      <c r="AC39" s="607">
        <v>2433961.87</v>
      </c>
      <c r="AD39" s="607">
        <v>224.32</v>
      </c>
      <c r="AE39" s="607">
        <v>2154590.96</v>
      </c>
      <c r="AF39" s="148"/>
      <c r="AG39" s="148"/>
      <c r="AH39" s="148"/>
      <c r="AI39" s="607"/>
      <c r="AJ39" s="607"/>
      <c r="AK39" s="148"/>
      <c r="AL39" s="148"/>
      <c r="AM39" s="148"/>
      <c r="AN39" s="607"/>
      <c r="AO39" s="607"/>
      <c r="AP39" s="148"/>
      <c r="AQ39" s="168">
        <v>0</v>
      </c>
      <c r="AR39" s="238">
        <v>321247.73</v>
      </c>
      <c r="AU39" s="633">
        <f t="shared" si="3"/>
        <v>0</v>
      </c>
      <c r="AX39" s="358">
        <v>33</v>
      </c>
      <c r="AY39" s="301" t="s">
        <v>436</v>
      </c>
      <c r="AZ39" s="139" t="s">
        <v>437</v>
      </c>
      <c r="BA39" s="633">
        <f t="shared" si="4"/>
        <v>0</v>
      </c>
      <c r="BC39" s="196">
        <v>33</v>
      </c>
      <c r="BD39" s="73" t="s">
        <v>436</v>
      </c>
      <c r="BE39" s="139" t="s">
        <v>437</v>
      </c>
      <c r="BF39" s="168">
        <v>0</v>
      </c>
      <c r="BG39" s="168">
        <v>279416.52999999997</v>
      </c>
    </row>
    <row r="40" spans="1:59">
      <c r="A40" s="139" t="s">
        <v>609</v>
      </c>
      <c r="B40" s="233" t="s">
        <v>608</v>
      </c>
      <c r="C40" s="233" t="str">
        <f t="shared" si="5"/>
        <v>32360 CHENEY SCHOOL DISTRICT</v>
      </c>
      <c r="D40" s="607"/>
      <c r="E40" s="607">
        <v>185377.92000000001</v>
      </c>
      <c r="F40" s="607">
        <v>62212.76</v>
      </c>
      <c r="G40" s="607">
        <v>12221491.67</v>
      </c>
      <c r="H40" s="607">
        <v>1919316.68</v>
      </c>
      <c r="I40" s="607">
        <v>919637.25</v>
      </c>
      <c r="J40" s="607">
        <v>2080126.63</v>
      </c>
      <c r="K40" s="607">
        <v>938994.61</v>
      </c>
      <c r="L40" s="607">
        <v>173647.85</v>
      </c>
      <c r="M40" s="607">
        <v>4674781.4000000004</v>
      </c>
      <c r="N40" s="608">
        <v>2.7900000000000001E-2</v>
      </c>
      <c r="O40" s="608">
        <v>0.16500000000000001</v>
      </c>
      <c r="P40" s="607"/>
      <c r="Q40" s="607"/>
      <c r="R40" s="607"/>
      <c r="S40" s="607"/>
      <c r="T40" s="607"/>
      <c r="U40" s="607"/>
      <c r="V40" s="607"/>
      <c r="W40" s="607"/>
      <c r="X40" s="607"/>
      <c r="Y40" s="607">
        <v>4232.1400000000003</v>
      </c>
      <c r="Z40" s="607"/>
      <c r="AA40" s="607"/>
      <c r="AB40" s="607">
        <v>1017263.37</v>
      </c>
      <c r="AC40" s="607">
        <v>2255150.79</v>
      </c>
      <c r="AD40" s="607">
        <v>212.19</v>
      </c>
      <c r="AE40" s="607">
        <v>1998666.91</v>
      </c>
      <c r="AF40" s="148"/>
      <c r="AG40" s="148"/>
      <c r="AH40" s="148"/>
      <c r="AI40" s="607">
        <v>101.87</v>
      </c>
      <c r="AJ40" s="607">
        <v>941175.4</v>
      </c>
      <c r="AK40" s="148"/>
      <c r="AL40" s="148"/>
      <c r="AM40" s="148"/>
      <c r="AN40" s="607"/>
      <c r="AO40" s="607"/>
      <c r="AP40" s="148"/>
      <c r="AQ40" s="168">
        <v>48586.830000000191</v>
      </c>
      <c r="AR40" s="238">
        <v>589820.95999999985</v>
      </c>
      <c r="AU40" s="633">
        <f t="shared" si="3"/>
        <v>0</v>
      </c>
      <c r="AX40" s="358">
        <v>34</v>
      </c>
      <c r="AY40" s="301" t="s">
        <v>608</v>
      </c>
      <c r="AZ40" s="139" t="s">
        <v>609</v>
      </c>
      <c r="BA40" s="633">
        <f t="shared" si="4"/>
        <v>0</v>
      </c>
      <c r="BC40" s="196">
        <v>34</v>
      </c>
      <c r="BD40" s="73" t="s">
        <v>608</v>
      </c>
      <c r="BE40" s="139" t="s">
        <v>609</v>
      </c>
      <c r="BF40" s="168">
        <v>48586.830000000191</v>
      </c>
      <c r="BG40" s="168">
        <v>497779.87999999995</v>
      </c>
    </row>
    <row r="41" spans="1:59">
      <c r="A41" s="139" t="s">
        <v>621</v>
      </c>
      <c r="B41" s="233" t="s">
        <v>620</v>
      </c>
      <c r="C41" s="233" t="str">
        <f t="shared" si="5"/>
        <v>33036 CHEWELAH SCHOOL DISTRICT</v>
      </c>
      <c r="D41" s="607"/>
      <c r="E41" s="607">
        <v>22081.52</v>
      </c>
      <c r="F41" s="607">
        <v>8942.7900000000009</v>
      </c>
      <c r="G41" s="607">
        <v>1582357.92</v>
      </c>
      <c r="H41" s="607">
        <v>283230.96999999997</v>
      </c>
      <c r="I41" s="607">
        <v>254779.3</v>
      </c>
      <c r="J41" s="607">
        <v>324083.71000000002</v>
      </c>
      <c r="K41" s="607">
        <v>4469.32</v>
      </c>
      <c r="L41" s="607">
        <v>22990.93</v>
      </c>
      <c r="M41" s="607">
        <v>739355.06</v>
      </c>
      <c r="N41" s="608">
        <v>3.0599999999999999E-2</v>
      </c>
      <c r="O41" s="608">
        <v>0.2001</v>
      </c>
      <c r="P41" s="607"/>
      <c r="Q41" s="607"/>
      <c r="R41" s="607"/>
      <c r="S41" s="607"/>
      <c r="T41" s="607"/>
      <c r="U41" s="607"/>
      <c r="V41" s="607"/>
      <c r="W41" s="607"/>
      <c r="X41" s="607"/>
      <c r="Y41" s="607">
        <v>603.89</v>
      </c>
      <c r="Z41" s="607"/>
      <c r="AA41" s="607">
        <v>15501.22</v>
      </c>
      <c r="AB41" s="607">
        <v>101357.89</v>
      </c>
      <c r="AC41" s="607">
        <v>381569.56</v>
      </c>
      <c r="AD41" s="607">
        <v>34.24</v>
      </c>
      <c r="AE41" s="607">
        <v>322544.84000000003</v>
      </c>
      <c r="AF41" s="148"/>
      <c r="AG41" s="148"/>
      <c r="AH41" s="148"/>
      <c r="AI41" s="607">
        <v>10.18</v>
      </c>
      <c r="AJ41" s="607">
        <v>93960.19</v>
      </c>
      <c r="AK41" s="148"/>
      <c r="AL41" s="148"/>
      <c r="AM41" s="148"/>
      <c r="AN41" s="607"/>
      <c r="AO41" s="607"/>
      <c r="AP41" s="148"/>
      <c r="AQ41" s="168">
        <v>0</v>
      </c>
      <c r="AR41" s="238">
        <v>73030.090000000011</v>
      </c>
      <c r="AU41" s="633">
        <f t="shared" si="3"/>
        <v>0</v>
      </c>
      <c r="AX41" s="358">
        <v>35</v>
      </c>
      <c r="AY41" s="301" t="s">
        <v>620</v>
      </c>
      <c r="AZ41" s="139" t="s">
        <v>621</v>
      </c>
      <c r="BA41" s="633">
        <f t="shared" si="4"/>
        <v>0</v>
      </c>
      <c r="BC41" s="196">
        <v>35</v>
      </c>
      <c r="BD41" s="73" t="s">
        <v>620</v>
      </c>
      <c r="BE41" s="139" t="s">
        <v>621</v>
      </c>
      <c r="BF41" s="168">
        <v>0</v>
      </c>
      <c r="BG41" s="168">
        <v>59665.799999999988</v>
      </c>
    </row>
    <row r="42" spans="1:59">
      <c r="A42" s="286" t="s">
        <v>1548</v>
      </c>
      <c r="B42" s="233" t="s">
        <v>1508</v>
      </c>
      <c r="C42" s="233" t="str">
        <f>CONCATENATE(B42," ",A42," TRIBAL COMPACT")</f>
        <v>27901 CHIEF LESCHI TRIBAL TRIBAL COMPACT</v>
      </c>
      <c r="D42" s="607">
        <v>120314.36</v>
      </c>
      <c r="E42" s="607">
        <v>29597.87</v>
      </c>
      <c r="F42" s="607">
        <v>22625.93</v>
      </c>
      <c r="G42" s="607">
        <v>1880500.49</v>
      </c>
      <c r="H42" s="607">
        <v>354080.43</v>
      </c>
      <c r="I42" s="607">
        <v>230104.91</v>
      </c>
      <c r="J42" s="607">
        <v>312737.93</v>
      </c>
      <c r="K42" s="607"/>
      <c r="L42" s="607"/>
      <c r="M42" s="607">
        <v>827783.81</v>
      </c>
      <c r="N42" s="608">
        <v>3.8699999999999998E-2</v>
      </c>
      <c r="O42" s="608">
        <v>0.1535</v>
      </c>
      <c r="P42" s="607"/>
      <c r="Q42" s="607"/>
      <c r="R42" s="607"/>
      <c r="S42" s="607"/>
      <c r="T42" s="607"/>
      <c r="U42" s="607"/>
      <c r="V42" s="607"/>
      <c r="W42" s="607"/>
      <c r="X42" s="607"/>
      <c r="Y42" s="607">
        <v>608.80999999999995</v>
      </c>
      <c r="Z42" s="607">
        <v>13701.21</v>
      </c>
      <c r="AA42" s="607">
        <v>13701.21</v>
      </c>
      <c r="AB42" s="607">
        <v>86813.23</v>
      </c>
      <c r="AC42" s="607">
        <v>515329.58</v>
      </c>
      <c r="AD42" s="607">
        <v>45.82</v>
      </c>
      <c r="AE42" s="607">
        <v>466860.34</v>
      </c>
      <c r="AF42" s="148"/>
      <c r="AG42" s="148"/>
      <c r="AH42" s="148"/>
      <c r="AI42" s="607">
        <v>8.1199999999999992</v>
      </c>
      <c r="AJ42" s="607">
        <v>81207.66</v>
      </c>
      <c r="AK42" s="148"/>
      <c r="AL42" s="148"/>
      <c r="AM42" s="148"/>
      <c r="AN42" s="607"/>
      <c r="AO42" s="607"/>
      <c r="AP42" s="148"/>
      <c r="AQ42" s="168">
        <v>10912.690000000031</v>
      </c>
      <c r="AR42" s="238">
        <v>93374.02</v>
      </c>
      <c r="AU42" s="633">
        <f t="shared" si="3"/>
        <v>0</v>
      </c>
      <c r="AX42" s="358">
        <v>36</v>
      </c>
      <c r="AY42" s="303" t="s">
        <v>1508</v>
      </c>
      <c r="AZ42" s="286" t="s">
        <v>1548</v>
      </c>
      <c r="BA42" s="633">
        <f t="shared" si="4"/>
        <v>0</v>
      </c>
      <c r="BC42" s="196">
        <v>36</v>
      </c>
      <c r="BD42" s="172" t="s">
        <v>1508</v>
      </c>
      <c r="BE42" s="286" t="s">
        <v>1548</v>
      </c>
      <c r="BF42" s="168">
        <v>10912.690000000031</v>
      </c>
      <c r="BG42" s="168">
        <v>76923.090000000011</v>
      </c>
    </row>
    <row r="43" spans="1:59">
      <c r="A43" s="139" t="s">
        <v>335</v>
      </c>
      <c r="B43" s="233" t="s">
        <v>334</v>
      </c>
      <c r="C43" s="233" t="str">
        <f t="shared" ref="C43:C80" si="6">CONCATENATE(B43," ",A43," SCHOOL DISTRICT")</f>
        <v>16049 CHIMACUM SCHOOL DISTRICT</v>
      </c>
      <c r="D43" s="607"/>
      <c r="E43" s="607">
        <v>29321.35</v>
      </c>
      <c r="F43" s="607">
        <v>14772.33</v>
      </c>
      <c r="G43" s="607">
        <v>2286631.6</v>
      </c>
      <c r="H43" s="607">
        <v>251369.14</v>
      </c>
      <c r="I43" s="607">
        <v>241561.39</v>
      </c>
      <c r="J43" s="607">
        <v>283974.8</v>
      </c>
      <c r="K43" s="607"/>
      <c r="L43" s="607">
        <v>22912.98</v>
      </c>
      <c r="M43" s="607">
        <v>1032471.67</v>
      </c>
      <c r="N43" s="608">
        <v>3.6799999999999999E-2</v>
      </c>
      <c r="O43" s="608">
        <v>0.2334</v>
      </c>
      <c r="P43" s="607"/>
      <c r="Q43" s="607"/>
      <c r="R43" s="607"/>
      <c r="S43" s="607"/>
      <c r="T43" s="607"/>
      <c r="U43" s="607"/>
      <c r="V43" s="607"/>
      <c r="W43" s="607"/>
      <c r="X43" s="607"/>
      <c r="Y43" s="607">
        <v>587.5</v>
      </c>
      <c r="Z43" s="607"/>
      <c r="AA43" s="607"/>
      <c r="AB43" s="607">
        <v>83683.009999999995</v>
      </c>
      <c r="AC43" s="607">
        <v>653031.05000000005</v>
      </c>
      <c r="AD43" s="607">
        <v>58.98</v>
      </c>
      <c r="AE43" s="607">
        <v>600953.31999999995</v>
      </c>
      <c r="AF43" s="148"/>
      <c r="AG43" s="148"/>
      <c r="AH43" s="148"/>
      <c r="AI43" s="607">
        <v>7.81</v>
      </c>
      <c r="AJ43" s="607">
        <v>77989.289999999994</v>
      </c>
      <c r="AK43" s="148"/>
      <c r="AL43" s="148"/>
      <c r="AM43" s="148"/>
      <c r="AN43" s="607"/>
      <c r="AO43" s="607"/>
      <c r="AP43" s="148"/>
      <c r="AQ43" s="168">
        <v>75283.930000000037</v>
      </c>
      <c r="AR43" s="238">
        <v>79197.509999999995</v>
      </c>
      <c r="AU43" s="633">
        <f t="shared" si="3"/>
        <v>0</v>
      </c>
      <c r="AX43" s="358">
        <v>37</v>
      </c>
      <c r="AY43" s="301" t="s">
        <v>334</v>
      </c>
      <c r="AZ43" s="139" t="s">
        <v>335</v>
      </c>
      <c r="BA43" s="633">
        <f t="shared" si="4"/>
        <v>0</v>
      </c>
      <c r="BC43" s="196">
        <v>37</v>
      </c>
      <c r="BD43" s="73" t="s">
        <v>334</v>
      </c>
      <c r="BE43" s="139" t="s">
        <v>335</v>
      </c>
      <c r="BF43" s="168">
        <v>75283.930000000037</v>
      </c>
      <c r="BG43" s="168">
        <v>72959.87999999999</v>
      </c>
    </row>
    <row r="44" spans="1:59">
      <c r="A44" s="139" t="s">
        <v>174</v>
      </c>
      <c r="B44" s="233" t="s">
        <v>173</v>
      </c>
      <c r="C44" s="233" t="str">
        <f t="shared" si="6"/>
        <v>02250 CLARKSTON SCHOOL DISTRICT</v>
      </c>
      <c r="D44" s="607"/>
      <c r="E44" s="607"/>
      <c r="F44" s="607"/>
      <c r="G44" s="607">
        <v>6044150.7199999997</v>
      </c>
      <c r="H44" s="607">
        <v>1005540.16</v>
      </c>
      <c r="I44" s="607">
        <v>414278.9</v>
      </c>
      <c r="J44" s="607">
        <v>939975.39</v>
      </c>
      <c r="K44" s="607">
        <v>39678.92</v>
      </c>
      <c r="L44" s="607">
        <v>75052.13</v>
      </c>
      <c r="M44" s="607">
        <v>1448884.23</v>
      </c>
      <c r="N44" s="608">
        <v>5.16E-2</v>
      </c>
      <c r="O44" s="608">
        <v>0.21240000000000001</v>
      </c>
      <c r="P44" s="607"/>
      <c r="Q44" s="607"/>
      <c r="R44" s="607"/>
      <c r="S44" s="607"/>
      <c r="T44" s="607"/>
      <c r="U44" s="607"/>
      <c r="V44" s="607"/>
      <c r="W44" s="607"/>
      <c r="X44" s="607"/>
      <c r="Y44" s="607">
        <v>1937.86</v>
      </c>
      <c r="Z44" s="607"/>
      <c r="AA44" s="607"/>
      <c r="AB44" s="607">
        <v>65727.05</v>
      </c>
      <c r="AC44" s="607">
        <v>1340662.1599999999</v>
      </c>
      <c r="AD44" s="607">
        <v>129.1</v>
      </c>
      <c r="AE44" s="607">
        <v>1216050.97</v>
      </c>
      <c r="AF44" s="148"/>
      <c r="AG44" s="148"/>
      <c r="AH44" s="148"/>
      <c r="AI44" s="607">
        <v>6.73</v>
      </c>
      <c r="AJ44" s="607">
        <v>62108.7</v>
      </c>
      <c r="AK44" s="148"/>
      <c r="AL44" s="148"/>
      <c r="AM44" s="148"/>
      <c r="AN44" s="607"/>
      <c r="AO44" s="607"/>
      <c r="AP44" s="148"/>
      <c r="AQ44" s="168">
        <v>68608.199999999953</v>
      </c>
      <c r="AR44" s="238">
        <v>263176.94</v>
      </c>
      <c r="AU44" s="633">
        <f t="shared" si="3"/>
        <v>0</v>
      </c>
      <c r="AX44" s="358">
        <v>38</v>
      </c>
      <c r="AY44" s="301" t="s">
        <v>173</v>
      </c>
      <c r="AZ44" s="139" t="s">
        <v>174</v>
      </c>
      <c r="BA44" s="633">
        <f t="shared" si="4"/>
        <v>0</v>
      </c>
      <c r="BC44" s="196">
        <v>38</v>
      </c>
      <c r="BD44" s="73" t="s">
        <v>173</v>
      </c>
      <c r="BE44" s="139" t="s">
        <v>174</v>
      </c>
      <c r="BF44" s="168">
        <v>68608.199999999953</v>
      </c>
      <c r="BG44" s="168">
        <v>211888.91999999998</v>
      </c>
    </row>
    <row r="45" spans="1:59">
      <c r="A45" s="139" t="s">
        <v>395</v>
      </c>
      <c r="B45" s="233" t="s">
        <v>394</v>
      </c>
      <c r="C45" s="233" t="str">
        <f t="shared" si="6"/>
        <v>19404 CLE ELUM-ROSLYN SCHOOL DISTRICT</v>
      </c>
      <c r="D45" s="607"/>
      <c r="E45" s="607">
        <v>8480.2900000000009</v>
      </c>
      <c r="F45" s="607"/>
      <c r="G45" s="607">
        <v>1907875.12</v>
      </c>
      <c r="H45" s="607">
        <v>315274.64</v>
      </c>
      <c r="I45" s="607"/>
      <c r="J45" s="607">
        <v>303296.25</v>
      </c>
      <c r="K45" s="607">
        <v>39537.64</v>
      </c>
      <c r="L45" s="607">
        <v>31026.85</v>
      </c>
      <c r="M45" s="607">
        <v>760567.42</v>
      </c>
      <c r="N45" s="608">
        <v>7.8E-2</v>
      </c>
      <c r="O45" s="608">
        <v>0.21779999999999999</v>
      </c>
      <c r="P45" s="607"/>
      <c r="Q45" s="607"/>
      <c r="R45" s="607"/>
      <c r="S45" s="607"/>
      <c r="T45" s="607"/>
      <c r="U45" s="607"/>
      <c r="V45" s="607"/>
      <c r="W45" s="607"/>
      <c r="X45" s="607"/>
      <c r="Y45" s="607">
        <v>825.12</v>
      </c>
      <c r="Z45" s="607"/>
      <c r="AA45" s="607">
        <v>65602.48</v>
      </c>
      <c r="AB45" s="607">
        <v>66639.25</v>
      </c>
      <c r="AC45" s="607">
        <v>929865.58</v>
      </c>
      <c r="AD45" s="607">
        <v>91.5</v>
      </c>
      <c r="AE45" s="607">
        <v>897199.38</v>
      </c>
      <c r="AF45" s="148"/>
      <c r="AG45" s="148"/>
      <c r="AH45" s="148"/>
      <c r="AI45" s="607">
        <v>6.56</v>
      </c>
      <c r="AJ45" s="607">
        <v>63129.63</v>
      </c>
      <c r="AK45" s="148"/>
      <c r="AL45" s="148"/>
      <c r="AM45" s="148"/>
      <c r="AN45" s="607">
        <v>47045.3</v>
      </c>
      <c r="AO45" s="607"/>
      <c r="AP45" s="148"/>
      <c r="AQ45" s="168">
        <v>0</v>
      </c>
      <c r="AR45" s="238">
        <v>112765.19000000002</v>
      </c>
      <c r="AU45" s="633">
        <f t="shared" si="3"/>
        <v>0</v>
      </c>
      <c r="AX45" s="358">
        <v>39</v>
      </c>
      <c r="AY45" s="301" t="s">
        <v>394</v>
      </c>
      <c r="AZ45" s="139" t="s">
        <v>395</v>
      </c>
      <c r="BA45" s="633">
        <f t="shared" si="4"/>
        <v>0</v>
      </c>
      <c r="BC45" s="196">
        <v>39</v>
      </c>
      <c r="BD45" s="73" t="s">
        <v>394</v>
      </c>
      <c r="BE45" s="139" t="s">
        <v>395</v>
      </c>
      <c r="BF45" s="168">
        <v>0</v>
      </c>
      <c r="BG45" s="168">
        <v>96071.690000000017</v>
      </c>
    </row>
    <row r="46" spans="1:59">
      <c r="A46" s="139" t="s">
        <v>522</v>
      </c>
      <c r="B46" s="233" t="s">
        <v>521</v>
      </c>
      <c r="C46" s="233" t="str">
        <f t="shared" si="6"/>
        <v>27400 CLOVER PARK SCHOOL DISTRICT</v>
      </c>
      <c r="D46" s="607"/>
      <c r="E46" s="607">
        <v>162595.64000000001</v>
      </c>
      <c r="F46" s="607">
        <v>203587.27</v>
      </c>
      <c r="G46" s="607">
        <v>36546868.93</v>
      </c>
      <c r="H46" s="607">
        <v>4989234.6500000004</v>
      </c>
      <c r="I46" s="607">
        <v>3328240.64</v>
      </c>
      <c r="J46" s="607">
        <v>5985859.5700000003</v>
      </c>
      <c r="K46" s="607">
        <v>3801113.4</v>
      </c>
      <c r="L46" s="607">
        <v>395330.98</v>
      </c>
      <c r="M46" s="607">
        <v>9563799.1199999992</v>
      </c>
      <c r="N46" s="608">
        <v>4.24E-2</v>
      </c>
      <c r="O46" s="608">
        <v>0.15970000000000001</v>
      </c>
      <c r="P46" s="607"/>
      <c r="Q46" s="607"/>
      <c r="R46" s="607"/>
      <c r="S46" s="607">
        <v>157077.39000000001</v>
      </c>
      <c r="T46" s="607">
        <v>14281.97</v>
      </c>
      <c r="U46" s="607">
        <v>6270.25</v>
      </c>
      <c r="V46" s="607">
        <v>2782481.25</v>
      </c>
      <c r="W46" s="607">
        <v>201662.05</v>
      </c>
      <c r="X46" s="607">
        <v>106093.59</v>
      </c>
      <c r="Y46" s="607">
        <v>10276.780000000001</v>
      </c>
      <c r="Z46" s="607">
        <v>316000.48</v>
      </c>
      <c r="AA46" s="607">
        <v>262754.98</v>
      </c>
      <c r="AB46" s="607">
        <v>3847385.19</v>
      </c>
      <c r="AC46" s="607">
        <v>6399480.5599999996</v>
      </c>
      <c r="AD46" s="607">
        <v>606.1</v>
      </c>
      <c r="AE46" s="607">
        <v>5942087.54</v>
      </c>
      <c r="AF46" s="148"/>
      <c r="AG46" s="148"/>
      <c r="AH46" s="148"/>
      <c r="AI46" s="607">
        <v>375.56</v>
      </c>
      <c r="AJ46" s="607">
        <v>3614348.82</v>
      </c>
      <c r="AK46" s="148"/>
      <c r="AL46" s="148"/>
      <c r="AM46" s="148"/>
      <c r="AN46" s="607"/>
      <c r="AO46" s="607">
        <v>20000</v>
      </c>
      <c r="AP46" s="148"/>
      <c r="AQ46" s="168">
        <v>119961.60000000126</v>
      </c>
      <c r="AR46" s="238">
        <v>1482602.21</v>
      </c>
      <c r="AU46" s="633">
        <f t="shared" si="3"/>
        <v>0</v>
      </c>
      <c r="AX46" s="358">
        <v>40</v>
      </c>
      <c r="AY46" s="301" t="s">
        <v>521</v>
      </c>
      <c r="AZ46" s="139" t="s">
        <v>522</v>
      </c>
      <c r="BA46" s="633">
        <f t="shared" si="4"/>
        <v>0</v>
      </c>
      <c r="BC46" s="196">
        <v>40</v>
      </c>
      <c r="BD46" s="73" t="s">
        <v>521</v>
      </c>
      <c r="BE46" s="139" t="s">
        <v>522</v>
      </c>
      <c r="BF46" s="168">
        <v>119961.60000000126</v>
      </c>
      <c r="BG46" s="168">
        <v>1262256.77</v>
      </c>
    </row>
    <row r="47" spans="1:59">
      <c r="A47" s="139" t="s">
        <v>694</v>
      </c>
      <c r="B47" s="233" t="s">
        <v>693</v>
      </c>
      <c r="C47" s="233" t="str">
        <f t="shared" si="6"/>
        <v>38300 COLFAX SCHOOL DISTRICT</v>
      </c>
      <c r="D47" s="607"/>
      <c r="E47" s="607">
        <v>6279.4</v>
      </c>
      <c r="F47" s="607"/>
      <c r="G47" s="607">
        <v>915254.5</v>
      </c>
      <c r="H47" s="607">
        <v>150441.26999999999</v>
      </c>
      <c r="I47" s="607"/>
      <c r="J47" s="607">
        <v>126753.21</v>
      </c>
      <c r="K47" s="607"/>
      <c r="L47" s="607">
        <v>16915.669999999998</v>
      </c>
      <c r="M47" s="607">
        <v>566135.22</v>
      </c>
      <c r="N47" s="608">
        <v>2.1399999999999999E-2</v>
      </c>
      <c r="O47" s="608">
        <v>0.20660000000000001</v>
      </c>
      <c r="P47" s="607"/>
      <c r="Q47" s="607"/>
      <c r="R47" s="607"/>
      <c r="S47" s="607"/>
      <c r="T47" s="607"/>
      <c r="U47" s="607"/>
      <c r="V47" s="607"/>
      <c r="W47" s="607"/>
      <c r="X47" s="607"/>
      <c r="Y47" s="607">
        <v>443.29</v>
      </c>
      <c r="Z47" s="607"/>
      <c r="AA47" s="607">
        <v>5707.95</v>
      </c>
      <c r="AB47" s="607">
        <v>93733.97</v>
      </c>
      <c r="AC47" s="607">
        <v>454202.95</v>
      </c>
      <c r="AD47" s="607">
        <v>44.06</v>
      </c>
      <c r="AE47" s="607">
        <v>423241.38</v>
      </c>
      <c r="AF47" s="148"/>
      <c r="AG47" s="148"/>
      <c r="AH47" s="148"/>
      <c r="AI47" s="607">
        <v>9.15</v>
      </c>
      <c r="AJ47" s="607">
        <v>86295.039999999994</v>
      </c>
      <c r="AK47" s="148"/>
      <c r="AL47" s="148"/>
      <c r="AM47" s="148"/>
      <c r="AN47" s="607"/>
      <c r="AO47" s="607"/>
      <c r="AP47" s="148"/>
      <c r="AQ47" s="168">
        <v>54839.149999999994</v>
      </c>
      <c r="AR47" s="238">
        <v>63163.02</v>
      </c>
      <c r="AU47" s="633">
        <f t="shared" si="3"/>
        <v>0</v>
      </c>
      <c r="AX47" s="358">
        <v>41</v>
      </c>
      <c r="AY47" s="301" t="s">
        <v>693</v>
      </c>
      <c r="AZ47" s="139" t="s">
        <v>694</v>
      </c>
      <c r="BA47" s="633">
        <f t="shared" si="4"/>
        <v>0</v>
      </c>
      <c r="BC47" s="196">
        <v>41</v>
      </c>
      <c r="BD47" s="73" t="s">
        <v>693</v>
      </c>
      <c r="BE47" s="139" t="s">
        <v>694</v>
      </c>
      <c r="BF47" s="168">
        <v>54839.149999999994</v>
      </c>
      <c r="BG47" s="168">
        <v>55292.18</v>
      </c>
    </row>
    <row r="48" spans="1:59">
      <c r="A48" s="139" t="s">
        <v>663</v>
      </c>
      <c r="B48" s="233" t="s">
        <v>662</v>
      </c>
      <c r="C48" s="233" t="str">
        <f t="shared" si="6"/>
        <v>36250 COLLEGE PLACE SCHOOL DISTRICT</v>
      </c>
      <c r="D48" s="607"/>
      <c r="E48" s="607"/>
      <c r="F48" s="607">
        <v>46789</v>
      </c>
      <c r="G48" s="607">
        <v>3697164.53</v>
      </c>
      <c r="H48" s="607">
        <v>633889.1</v>
      </c>
      <c r="I48" s="607">
        <v>474187.96</v>
      </c>
      <c r="J48" s="607">
        <v>567809.67000000004</v>
      </c>
      <c r="K48" s="607">
        <v>435922.86</v>
      </c>
      <c r="L48" s="607">
        <v>48413.59</v>
      </c>
      <c r="M48" s="607">
        <v>940290.87</v>
      </c>
      <c r="N48" s="608">
        <v>5.6099999999999997E-2</v>
      </c>
      <c r="O48" s="608">
        <v>0.19270000000000001</v>
      </c>
      <c r="P48" s="607"/>
      <c r="Q48" s="607"/>
      <c r="R48" s="607"/>
      <c r="S48" s="607"/>
      <c r="T48" s="607"/>
      <c r="U48" s="607"/>
      <c r="V48" s="607"/>
      <c r="W48" s="607"/>
      <c r="X48" s="607"/>
      <c r="Y48" s="607">
        <v>1294.6300000000001</v>
      </c>
      <c r="Z48" s="607"/>
      <c r="AA48" s="607">
        <v>58901.36</v>
      </c>
      <c r="AB48" s="607">
        <v>224397.77</v>
      </c>
      <c r="AC48" s="607">
        <v>1417566.98</v>
      </c>
      <c r="AD48" s="607">
        <v>135.34</v>
      </c>
      <c r="AE48" s="607">
        <v>1274938.3799999999</v>
      </c>
      <c r="AF48" s="148"/>
      <c r="AG48" s="148"/>
      <c r="AH48" s="148"/>
      <c r="AI48" s="607">
        <v>22.99</v>
      </c>
      <c r="AJ48" s="607">
        <v>212346.76</v>
      </c>
      <c r="AK48" s="148"/>
      <c r="AL48" s="148"/>
      <c r="AM48" s="148"/>
      <c r="AN48" s="607"/>
      <c r="AO48" s="607"/>
      <c r="AP48" s="148"/>
      <c r="AQ48" s="168">
        <v>0</v>
      </c>
      <c r="AR48" s="238">
        <v>184145.46000000002</v>
      </c>
      <c r="AU48" s="633">
        <f t="shared" si="3"/>
        <v>0</v>
      </c>
      <c r="AX48" s="358">
        <v>42</v>
      </c>
      <c r="AY48" s="301" t="s">
        <v>662</v>
      </c>
      <c r="AZ48" s="139" t="s">
        <v>663</v>
      </c>
      <c r="BA48" s="633">
        <f t="shared" si="4"/>
        <v>0</v>
      </c>
      <c r="BC48" s="196">
        <v>42</v>
      </c>
      <c r="BD48" s="73" t="s">
        <v>662</v>
      </c>
      <c r="BE48" s="139" t="s">
        <v>663</v>
      </c>
      <c r="BF48" s="168">
        <v>0</v>
      </c>
      <c r="BG48" s="168">
        <v>152806.96</v>
      </c>
    </row>
    <row r="49" spans="1:59">
      <c r="A49" s="139" t="s">
        <v>702</v>
      </c>
      <c r="B49" s="233" t="s">
        <v>701</v>
      </c>
      <c r="C49" s="233" t="str">
        <f t="shared" si="6"/>
        <v>38306 COLTON SCHOOL DISTRICT</v>
      </c>
      <c r="D49" s="607"/>
      <c r="E49" s="607"/>
      <c r="F49" s="607"/>
      <c r="G49" s="607">
        <v>406533.04</v>
      </c>
      <c r="H49" s="607">
        <v>68174.12</v>
      </c>
      <c r="I49" s="607"/>
      <c r="J49" s="607">
        <v>33712.660000000003</v>
      </c>
      <c r="K49" s="607"/>
      <c r="L49" s="607"/>
      <c r="M49" s="607">
        <v>192942.26</v>
      </c>
      <c r="N49" s="608">
        <v>4.6399999999999997E-2</v>
      </c>
      <c r="O49" s="608">
        <v>0.25929999999999997</v>
      </c>
      <c r="P49" s="607"/>
      <c r="Q49" s="607"/>
      <c r="R49" s="607"/>
      <c r="S49" s="607"/>
      <c r="T49" s="607"/>
      <c r="U49" s="607"/>
      <c r="V49" s="607"/>
      <c r="W49" s="607"/>
      <c r="X49" s="607"/>
      <c r="Y49" s="607">
        <v>139.30000000000001</v>
      </c>
      <c r="Z49" s="607"/>
      <c r="AA49" s="607"/>
      <c r="AB49" s="607">
        <v>22752.26</v>
      </c>
      <c r="AC49" s="607">
        <v>60932.22</v>
      </c>
      <c r="AD49" s="607">
        <v>5.85</v>
      </c>
      <c r="AE49" s="607">
        <v>54894.91</v>
      </c>
      <c r="AF49" s="148"/>
      <c r="AG49" s="148"/>
      <c r="AH49" s="148"/>
      <c r="AI49" s="607">
        <v>2.33</v>
      </c>
      <c r="AJ49" s="607">
        <v>21430.61</v>
      </c>
      <c r="AK49" s="148"/>
      <c r="AL49" s="148"/>
      <c r="AM49" s="148"/>
      <c r="AN49" s="607"/>
      <c r="AO49" s="607"/>
      <c r="AP49" s="148"/>
      <c r="AQ49" s="168">
        <v>18753.190000000006</v>
      </c>
      <c r="AR49" s="238">
        <v>30520.989999999998</v>
      </c>
      <c r="AU49" s="633">
        <f t="shared" si="3"/>
        <v>0</v>
      </c>
      <c r="AX49" s="358">
        <v>43</v>
      </c>
      <c r="AY49" s="301" t="s">
        <v>701</v>
      </c>
      <c r="AZ49" s="139" t="s">
        <v>702</v>
      </c>
      <c r="BA49" s="633">
        <f t="shared" si="4"/>
        <v>0</v>
      </c>
      <c r="BC49" s="196">
        <v>43</v>
      </c>
      <c r="BD49" s="73" t="s">
        <v>701</v>
      </c>
      <c r="BE49" s="139" t="s">
        <v>702</v>
      </c>
      <c r="BF49" s="168">
        <v>18753.190000000006</v>
      </c>
      <c r="BG49" s="168">
        <v>27076.989999999998</v>
      </c>
    </row>
    <row r="50" spans="1:59">
      <c r="A50" s="139" t="s">
        <v>805</v>
      </c>
      <c r="B50" s="233" t="s">
        <v>633</v>
      </c>
      <c r="C50" s="233" t="str">
        <f t="shared" si="6"/>
        <v>33206 COLUMBIA (STEVENS) SCHOOL DISTRICT</v>
      </c>
      <c r="D50" s="607"/>
      <c r="E50" s="607"/>
      <c r="F50" s="607"/>
      <c r="G50" s="607">
        <v>264103.09000000003</v>
      </c>
      <c r="H50" s="607">
        <v>42632.37</v>
      </c>
      <c r="I50" s="607">
        <v>36144.400000000001</v>
      </c>
      <c r="J50" s="607">
        <v>57145.73</v>
      </c>
      <c r="K50" s="607"/>
      <c r="L50" s="607">
        <v>3316</v>
      </c>
      <c r="M50" s="607">
        <v>291908.24</v>
      </c>
      <c r="N50" s="608">
        <v>4.7699999999999999E-2</v>
      </c>
      <c r="O50" s="608">
        <v>0.34570000000000001</v>
      </c>
      <c r="P50" s="607"/>
      <c r="Q50" s="607"/>
      <c r="R50" s="607"/>
      <c r="S50" s="607"/>
      <c r="T50" s="607"/>
      <c r="U50" s="607"/>
      <c r="V50" s="607"/>
      <c r="W50" s="607"/>
      <c r="X50" s="607"/>
      <c r="Y50" s="607">
        <v>92.59</v>
      </c>
      <c r="Z50" s="607"/>
      <c r="AA50" s="607"/>
      <c r="AB50" s="607">
        <v>17223.47</v>
      </c>
      <c r="AC50" s="607">
        <v>87541.69</v>
      </c>
      <c r="AD50" s="607">
        <v>8.86</v>
      </c>
      <c r="AE50" s="607">
        <v>83456.73</v>
      </c>
      <c r="AF50" s="148"/>
      <c r="AG50" s="148"/>
      <c r="AH50" s="148"/>
      <c r="AI50" s="607">
        <v>1.75</v>
      </c>
      <c r="AJ50" s="607">
        <v>16221.06</v>
      </c>
      <c r="AK50" s="148"/>
      <c r="AL50" s="148"/>
      <c r="AM50" s="148"/>
      <c r="AN50" s="607"/>
      <c r="AO50" s="607"/>
      <c r="AP50" s="148"/>
      <c r="AQ50" s="168">
        <v>0</v>
      </c>
      <c r="AR50" s="238">
        <v>23942.590000000004</v>
      </c>
      <c r="AU50" s="633">
        <f t="shared" si="3"/>
        <v>0</v>
      </c>
      <c r="AX50" s="358">
        <v>44</v>
      </c>
      <c r="AY50" s="301" t="s">
        <v>633</v>
      </c>
      <c r="AZ50" s="139" t="s">
        <v>805</v>
      </c>
      <c r="BA50" s="633">
        <f t="shared" si="4"/>
        <v>0</v>
      </c>
      <c r="BC50" s="196">
        <v>44</v>
      </c>
      <c r="BD50" s="73" t="s">
        <v>633</v>
      </c>
      <c r="BE50" s="139" t="s">
        <v>805</v>
      </c>
      <c r="BF50" s="168">
        <v>0</v>
      </c>
      <c r="BG50" s="168">
        <v>21784.980000000003</v>
      </c>
    </row>
    <row r="51" spans="1:59">
      <c r="A51" s="139" t="s">
        <v>806</v>
      </c>
      <c r="B51" s="233" t="s">
        <v>666</v>
      </c>
      <c r="C51" s="233" t="str">
        <f t="shared" si="6"/>
        <v>36400 COLUMBIA (WALLA WALLA) SCHOOL DISTRICT</v>
      </c>
      <c r="D51" s="607"/>
      <c r="E51" s="607">
        <v>20565.21</v>
      </c>
      <c r="F51" s="607">
        <v>23664.66</v>
      </c>
      <c r="G51" s="607">
        <v>1624525.31</v>
      </c>
      <c r="H51" s="607">
        <v>277833.11</v>
      </c>
      <c r="I51" s="607">
        <v>253673.98</v>
      </c>
      <c r="J51" s="607">
        <v>306619.44</v>
      </c>
      <c r="K51" s="607">
        <v>240253.57</v>
      </c>
      <c r="L51" s="607">
        <v>24427.86</v>
      </c>
      <c r="M51" s="607">
        <v>476598.78</v>
      </c>
      <c r="N51" s="608">
        <v>3.2899999999999999E-2</v>
      </c>
      <c r="O51" s="608">
        <v>0.19600000000000001</v>
      </c>
      <c r="P51" s="607"/>
      <c r="Q51" s="607"/>
      <c r="R51" s="607"/>
      <c r="S51" s="607"/>
      <c r="T51" s="607"/>
      <c r="U51" s="607"/>
      <c r="V51" s="607"/>
      <c r="W51" s="607"/>
      <c r="X51" s="607"/>
      <c r="Y51" s="607">
        <v>649.78</v>
      </c>
      <c r="Z51" s="607"/>
      <c r="AA51" s="607"/>
      <c r="AB51" s="607"/>
      <c r="AC51" s="607">
        <v>641860.42000000004</v>
      </c>
      <c r="AD51" s="607">
        <v>61.69</v>
      </c>
      <c r="AE51" s="607">
        <v>581037.61</v>
      </c>
      <c r="AF51" s="148"/>
      <c r="AG51" s="148"/>
      <c r="AH51" s="148"/>
      <c r="AI51" s="607"/>
      <c r="AJ51" s="607"/>
      <c r="AK51" s="148"/>
      <c r="AL51" s="148"/>
      <c r="AM51" s="148"/>
      <c r="AN51" s="607"/>
      <c r="AO51" s="607"/>
      <c r="AP51" s="148"/>
      <c r="AQ51" s="168">
        <v>0</v>
      </c>
      <c r="AR51" s="238">
        <v>94853.99000000002</v>
      </c>
      <c r="AU51" s="633">
        <f t="shared" si="3"/>
        <v>0</v>
      </c>
      <c r="AX51" s="358">
        <v>45</v>
      </c>
      <c r="AY51" s="301" t="s">
        <v>666</v>
      </c>
      <c r="AZ51" s="139" t="s">
        <v>806</v>
      </c>
      <c r="BA51" s="633">
        <f t="shared" si="4"/>
        <v>0</v>
      </c>
      <c r="BC51" s="196">
        <v>45</v>
      </c>
      <c r="BD51" s="73" t="s">
        <v>666</v>
      </c>
      <c r="BE51" s="139" t="s">
        <v>806</v>
      </c>
      <c r="BF51" s="168">
        <v>0</v>
      </c>
      <c r="BG51" s="168">
        <v>80972.10000000002</v>
      </c>
    </row>
    <row r="52" spans="1:59">
      <c r="A52" s="139" t="s">
        <v>627</v>
      </c>
      <c r="B52" s="233" t="s">
        <v>626</v>
      </c>
      <c r="C52" s="233" t="str">
        <f t="shared" si="6"/>
        <v>33115 COLVILLE SCHOOL DISTRICT</v>
      </c>
      <c r="D52" s="607"/>
      <c r="E52" s="607"/>
      <c r="F52" s="607"/>
      <c r="G52" s="607">
        <v>3866940.09</v>
      </c>
      <c r="H52" s="607">
        <v>638470.26</v>
      </c>
      <c r="I52" s="607">
        <v>575704.11</v>
      </c>
      <c r="J52" s="607">
        <v>774348.9</v>
      </c>
      <c r="K52" s="607">
        <v>14878.75</v>
      </c>
      <c r="L52" s="607">
        <v>54175.86</v>
      </c>
      <c r="M52" s="607">
        <v>1712161.36</v>
      </c>
      <c r="N52" s="608">
        <v>2.7300000000000001E-2</v>
      </c>
      <c r="O52" s="608">
        <v>0.22850000000000001</v>
      </c>
      <c r="P52" s="607"/>
      <c r="Q52" s="607"/>
      <c r="R52" s="607"/>
      <c r="S52" s="607"/>
      <c r="T52" s="607"/>
      <c r="U52" s="607"/>
      <c r="V52" s="607"/>
      <c r="W52" s="607"/>
      <c r="X52" s="607"/>
      <c r="Y52" s="607">
        <v>1434.75</v>
      </c>
      <c r="Z52" s="607"/>
      <c r="AA52" s="607"/>
      <c r="AB52" s="607">
        <v>254471.2</v>
      </c>
      <c r="AC52" s="607">
        <v>1167284.48</v>
      </c>
      <c r="AD52" s="607">
        <v>107.6</v>
      </c>
      <c r="AE52" s="607">
        <v>1033515.81</v>
      </c>
      <c r="AF52" s="148"/>
      <c r="AG52" s="148"/>
      <c r="AH52" s="148"/>
      <c r="AI52" s="607">
        <v>24.94</v>
      </c>
      <c r="AJ52" s="607">
        <v>235149.26</v>
      </c>
      <c r="AK52" s="148"/>
      <c r="AL52" s="148"/>
      <c r="AM52" s="148"/>
      <c r="AN52" s="607"/>
      <c r="AO52" s="607"/>
      <c r="AP52" s="148"/>
      <c r="AQ52" s="168">
        <v>0</v>
      </c>
      <c r="AR52" s="238">
        <v>205329.62000000002</v>
      </c>
      <c r="AU52" s="633">
        <f t="shared" si="3"/>
        <v>0</v>
      </c>
      <c r="AX52" s="358">
        <v>46</v>
      </c>
      <c r="AY52" s="301" t="s">
        <v>626</v>
      </c>
      <c r="AZ52" s="139" t="s">
        <v>627</v>
      </c>
      <c r="BA52" s="633">
        <f t="shared" si="4"/>
        <v>0</v>
      </c>
      <c r="BC52" s="196">
        <v>46</v>
      </c>
      <c r="BD52" s="73" t="s">
        <v>626</v>
      </c>
      <c r="BE52" s="139" t="s">
        <v>627</v>
      </c>
      <c r="BF52" s="168">
        <v>0</v>
      </c>
      <c r="BG52" s="168">
        <v>171779.31000000003</v>
      </c>
    </row>
    <row r="53" spans="1:59">
      <c r="A53" s="139" t="s">
        <v>544</v>
      </c>
      <c r="B53" s="233" t="s">
        <v>543</v>
      </c>
      <c r="C53" s="233" t="str">
        <f t="shared" si="6"/>
        <v>29011 CONCRETE SCHOOL DISTRICT</v>
      </c>
      <c r="D53" s="607"/>
      <c r="E53" s="607">
        <v>6607.41</v>
      </c>
      <c r="F53" s="607"/>
      <c r="G53" s="607">
        <v>1441584.66</v>
      </c>
      <c r="H53" s="607">
        <v>236556.86</v>
      </c>
      <c r="I53" s="607">
        <v>174540.61</v>
      </c>
      <c r="J53" s="607">
        <v>252979.28</v>
      </c>
      <c r="K53" s="607">
        <v>23493.37</v>
      </c>
      <c r="L53" s="607">
        <v>15687.74</v>
      </c>
      <c r="M53" s="607">
        <v>837936.63</v>
      </c>
      <c r="N53" s="608">
        <v>5.8700000000000002E-2</v>
      </c>
      <c r="O53" s="608">
        <v>0.22359999999999999</v>
      </c>
      <c r="P53" s="607"/>
      <c r="Q53" s="607"/>
      <c r="R53" s="607"/>
      <c r="S53" s="607"/>
      <c r="T53" s="607"/>
      <c r="U53" s="607"/>
      <c r="V53" s="607"/>
      <c r="W53" s="607"/>
      <c r="X53" s="607"/>
      <c r="Y53" s="607">
        <v>416.25</v>
      </c>
      <c r="Z53" s="607"/>
      <c r="AA53" s="607"/>
      <c r="AB53" s="607">
        <v>48836.08</v>
      </c>
      <c r="AC53" s="607">
        <v>260123.98</v>
      </c>
      <c r="AD53" s="607">
        <v>24.23</v>
      </c>
      <c r="AE53" s="607">
        <v>237502.76</v>
      </c>
      <c r="AF53" s="148"/>
      <c r="AG53" s="148"/>
      <c r="AH53" s="148"/>
      <c r="AI53" s="607">
        <v>4.8099999999999996</v>
      </c>
      <c r="AJ53" s="607">
        <v>46162.92</v>
      </c>
      <c r="AK53" s="148"/>
      <c r="AL53" s="148"/>
      <c r="AM53" s="148"/>
      <c r="AN53" s="607">
        <v>3736.63</v>
      </c>
      <c r="AO53" s="607"/>
      <c r="AP53" s="148"/>
      <c r="AQ53" s="168">
        <v>0</v>
      </c>
      <c r="AR53" s="238">
        <v>70139.13</v>
      </c>
      <c r="AU53" s="633">
        <f t="shared" si="3"/>
        <v>0</v>
      </c>
      <c r="AX53" s="358">
        <v>47</v>
      </c>
      <c r="AY53" s="301" t="s">
        <v>543</v>
      </c>
      <c r="AZ53" s="139" t="s">
        <v>544</v>
      </c>
      <c r="BA53" s="633">
        <f t="shared" si="4"/>
        <v>0</v>
      </c>
      <c r="BC53" s="196">
        <v>47</v>
      </c>
      <c r="BD53" s="73" t="s">
        <v>543</v>
      </c>
      <c r="BE53" s="139" t="s">
        <v>544</v>
      </c>
      <c r="BF53" s="168">
        <v>0</v>
      </c>
      <c r="BG53" s="168">
        <v>58878.710000000014</v>
      </c>
    </row>
    <row r="54" spans="1:59">
      <c r="A54" s="139" t="s">
        <v>553</v>
      </c>
      <c r="B54" s="233" t="s">
        <v>552</v>
      </c>
      <c r="C54" s="233" t="str">
        <f t="shared" si="6"/>
        <v>29317 CONWAY SCHOOL DISTRICT</v>
      </c>
      <c r="D54" s="607"/>
      <c r="E54" s="607"/>
      <c r="F54" s="607"/>
      <c r="G54" s="607">
        <v>720385.49</v>
      </c>
      <c r="H54" s="607">
        <v>92480.78</v>
      </c>
      <c r="I54" s="607"/>
      <c r="J54" s="607">
        <v>94732.04</v>
      </c>
      <c r="K54" s="607">
        <v>45845.03</v>
      </c>
      <c r="L54" s="607">
        <v>14951.08</v>
      </c>
      <c r="M54" s="607">
        <v>249786.84</v>
      </c>
      <c r="N54" s="608">
        <v>2.8000000000000001E-2</v>
      </c>
      <c r="O54" s="608">
        <v>0.19789999999999999</v>
      </c>
      <c r="P54" s="607"/>
      <c r="Q54" s="607"/>
      <c r="R54" s="607"/>
      <c r="S54" s="607"/>
      <c r="T54" s="607"/>
      <c r="U54" s="607"/>
      <c r="V54" s="607"/>
      <c r="W54" s="607"/>
      <c r="X54" s="607"/>
      <c r="Y54" s="607">
        <v>355.61</v>
      </c>
      <c r="Z54" s="607"/>
      <c r="AA54" s="607"/>
      <c r="AB54" s="607"/>
      <c r="AC54" s="607"/>
      <c r="AD54" s="607"/>
      <c r="AE54" s="607"/>
      <c r="AF54" s="148"/>
      <c r="AG54" s="148"/>
      <c r="AH54" s="148"/>
      <c r="AI54" s="607"/>
      <c r="AJ54" s="607"/>
      <c r="AK54" s="148"/>
      <c r="AL54" s="148"/>
      <c r="AM54" s="148"/>
      <c r="AN54" s="607"/>
      <c r="AO54" s="607"/>
      <c r="AP54" s="148"/>
      <c r="AQ54" s="168">
        <v>5216.4400000000096</v>
      </c>
      <c r="AR54" s="238">
        <v>49424.57</v>
      </c>
      <c r="AU54" s="633">
        <f t="shared" si="3"/>
        <v>0</v>
      </c>
      <c r="AX54" s="358">
        <v>48</v>
      </c>
      <c r="AY54" s="301" t="s">
        <v>552</v>
      </c>
      <c r="AZ54" s="139" t="s">
        <v>553</v>
      </c>
      <c r="BA54" s="633">
        <f t="shared" si="4"/>
        <v>0</v>
      </c>
      <c r="BC54" s="196">
        <v>48</v>
      </c>
      <c r="BD54" s="73" t="s">
        <v>552</v>
      </c>
      <c r="BE54" s="139" t="s">
        <v>553</v>
      </c>
      <c r="BF54" s="168">
        <v>5216.4400000000096</v>
      </c>
      <c r="BG54" s="168">
        <v>45436.49</v>
      </c>
    </row>
    <row r="55" spans="1:59">
      <c r="A55" s="139" t="s">
        <v>313</v>
      </c>
      <c r="B55" s="233" t="s">
        <v>312</v>
      </c>
      <c r="C55" s="233" t="str">
        <f t="shared" si="6"/>
        <v>14099 COSMOPOLIS SCHOOL DISTRICT</v>
      </c>
      <c r="D55" s="607"/>
      <c r="E55" s="607">
        <v>2873.55</v>
      </c>
      <c r="F55" s="607">
        <v>4604.49</v>
      </c>
      <c r="G55" s="607">
        <v>324491.96000000002</v>
      </c>
      <c r="H55" s="607">
        <v>55988.71</v>
      </c>
      <c r="I55" s="607">
        <v>60240.67</v>
      </c>
      <c r="J55" s="607">
        <v>66098.92</v>
      </c>
      <c r="K55" s="607">
        <v>3706.28</v>
      </c>
      <c r="L55" s="607">
        <v>4752.93</v>
      </c>
      <c r="M55" s="607">
        <v>87776.76</v>
      </c>
      <c r="N55" s="608">
        <v>3.04E-2</v>
      </c>
      <c r="O55" s="608">
        <v>0.22470000000000001</v>
      </c>
      <c r="P55" s="607"/>
      <c r="Q55" s="607"/>
      <c r="R55" s="607"/>
      <c r="S55" s="607"/>
      <c r="T55" s="607"/>
      <c r="U55" s="607"/>
      <c r="V55" s="607"/>
      <c r="W55" s="607"/>
      <c r="X55" s="607"/>
      <c r="Y55" s="607"/>
      <c r="Z55" s="607"/>
      <c r="AA55" s="607"/>
      <c r="AB55" s="607"/>
      <c r="AC55" s="607"/>
      <c r="AD55" s="607"/>
      <c r="AE55" s="607"/>
      <c r="AF55" s="148"/>
      <c r="AG55" s="148"/>
      <c r="AH55" s="148"/>
      <c r="AI55" s="607"/>
      <c r="AJ55" s="607"/>
      <c r="AK55" s="148"/>
      <c r="AL55" s="148"/>
      <c r="AM55" s="148"/>
      <c r="AN55" s="607">
        <v>4500</v>
      </c>
      <c r="AO55" s="607"/>
      <c r="AP55" s="148"/>
      <c r="AQ55" s="168">
        <v>45086.909999999996</v>
      </c>
      <c r="AR55" s="238">
        <v>21403.65</v>
      </c>
      <c r="AU55" s="633">
        <f t="shared" si="3"/>
        <v>0</v>
      </c>
      <c r="AX55" s="358">
        <v>49</v>
      </c>
      <c r="AY55" s="301" t="s">
        <v>312</v>
      </c>
      <c r="AZ55" s="139" t="s">
        <v>313</v>
      </c>
      <c r="BA55" s="633">
        <f t="shared" si="4"/>
        <v>0</v>
      </c>
      <c r="BC55" s="196">
        <v>49</v>
      </c>
      <c r="BD55" s="73" t="s">
        <v>312</v>
      </c>
      <c r="BE55" s="139" t="s">
        <v>313</v>
      </c>
      <c r="BF55" s="168">
        <v>45086.909999999996</v>
      </c>
      <c r="BG55" s="168">
        <v>18613.559999999998</v>
      </c>
    </row>
    <row r="56" spans="1:59">
      <c r="A56" s="139" t="s">
        <v>284</v>
      </c>
      <c r="B56" s="233" t="s">
        <v>283</v>
      </c>
      <c r="C56" s="233" t="str">
        <f t="shared" si="6"/>
        <v>13151 COULEE-HARTLINE SCHOOL DISTRICT</v>
      </c>
      <c r="D56" s="607"/>
      <c r="E56" s="607">
        <v>5513.45</v>
      </c>
      <c r="F56" s="607"/>
      <c r="G56" s="607">
        <v>310551.99</v>
      </c>
      <c r="H56" s="607">
        <v>52047.11</v>
      </c>
      <c r="I56" s="607"/>
      <c r="J56" s="607">
        <v>61567.07</v>
      </c>
      <c r="K56" s="607"/>
      <c r="L56" s="607">
        <v>5637.19</v>
      </c>
      <c r="M56" s="607">
        <v>401352.13</v>
      </c>
      <c r="N56" s="608">
        <v>3.3099999999999997E-2</v>
      </c>
      <c r="O56" s="608">
        <v>0.22450000000000001</v>
      </c>
      <c r="P56" s="607"/>
      <c r="Q56" s="607"/>
      <c r="R56" s="607"/>
      <c r="S56" s="607"/>
      <c r="T56" s="607"/>
      <c r="U56" s="607"/>
      <c r="V56" s="607"/>
      <c r="W56" s="607"/>
      <c r="X56" s="607"/>
      <c r="Y56" s="607">
        <v>147.49</v>
      </c>
      <c r="Z56" s="607">
        <v>607.75</v>
      </c>
      <c r="AA56" s="607">
        <v>14586.1</v>
      </c>
      <c r="AB56" s="607">
        <v>26339.18</v>
      </c>
      <c r="AC56" s="607">
        <v>190842.22</v>
      </c>
      <c r="AD56" s="607">
        <v>18.98</v>
      </c>
      <c r="AE56" s="607">
        <v>178743.13</v>
      </c>
      <c r="AF56" s="148"/>
      <c r="AG56" s="148"/>
      <c r="AH56" s="148"/>
      <c r="AI56" s="607">
        <v>2.65</v>
      </c>
      <c r="AJ56" s="607">
        <v>24303.01</v>
      </c>
      <c r="AK56" s="148"/>
      <c r="AL56" s="148"/>
      <c r="AM56" s="148"/>
      <c r="AN56" s="607">
        <v>500</v>
      </c>
      <c r="AO56" s="607"/>
      <c r="AP56" s="148"/>
      <c r="AQ56" s="168">
        <v>0</v>
      </c>
      <c r="AR56" s="238">
        <v>27263.309999999998</v>
      </c>
      <c r="AU56" s="633">
        <f t="shared" si="3"/>
        <v>0</v>
      </c>
      <c r="AX56" s="358">
        <v>50</v>
      </c>
      <c r="AY56" s="301" t="s">
        <v>283</v>
      </c>
      <c r="AZ56" s="139" t="s">
        <v>284</v>
      </c>
      <c r="BA56" s="633">
        <f t="shared" si="4"/>
        <v>0</v>
      </c>
      <c r="BC56" s="196">
        <v>50</v>
      </c>
      <c r="BD56" s="73" t="s">
        <v>283</v>
      </c>
      <c r="BE56" s="139" t="s">
        <v>284</v>
      </c>
      <c r="BF56" s="168">
        <v>0</v>
      </c>
      <c r="BG56" s="168">
        <v>24738.44</v>
      </c>
    </row>
    <row r="57" spans="1:59">
      <c r="A57" s="139" t="s">
        <v>325</v>
      </c>
      <c r="B57" s="233" t="s">
        <v>324</v>
      </c>
      <c r="C57" s="233" t="str">
        <f t="shared" si="6"/>
        <v>15204 COUPEVILLE SCHOOL DISTRICT</v>
      </c>
      <c r="D57" s="607"/>
      <c r="E57" s="607"/>
      <c r="F57" s="607"/>
      <c r="G57" s="607">
        <v>2519086.54</v>
      </c>
      <c r="H57" s="607">
        <v>396165</v>
      </c>
      <c r="I57" s="607"/>
      <c r="J57" s="607">
        <v>328460.13</v>
      </c>
      <c r="K57" s="607">
        <v>64545.08</v>
      </c>
      <c r="L57" s="607">
        <v>33516.339999999997</v>
      </c>
      <c r="M57" s="607">
        <v>674996.48</v>
      </c>
      <c r="N57" s="608">
        <v>5.6300000000000003E-2</v>
      </c>
      <c r="O57" s="608">
        <v>0.20810000000000001</v>
      </c>
      <c r="P57" s="607"/>
      <c r="Q57" s="607"/>
      <c r="R57" s="607"/>
      <c r="S57" s="607">
        <v>156713.26999999999</v>
      </c>
      <c r="T57" s="607"/>
      <c r="U57" s="607">
        <v>6594.72</v>
      </c>
      <c r="V57" s="607"/>
      <c r="W57" s="607"/>
      <c r="X57" s="607"/>
      <c r="Y57" s="607">
        <v>823.49</v>
      </c>
      <c r="Z57" s="607"/>
      <c r="AA57" s="607"/>
      <c r="AB57" s="607">
        <v>119772.94</v>
      </c>
      <c r="AC57" s="607">
        <v>323311.55</v>
      </c>
      <c r="AD57" s="607">
        <v>30.2</v>
      </c>
      <c r="AE57" s="607">
        <v>307796.62</v>
      </c>
      <c r="AF57" s="148"/>
      <c r="AG57" s="148"/>
      <c r="AH57" s="148"/>
      <c r="AI57" s="607">
        <v>11.34</v>
      </c>
      <c r="AJ57" s="607">
        <v>113504.58</v>
      </c>
      <c r="AK57" s="148"/>
      <c r="AL57" s="148"/>
      <c r="AM57" s="148"/>
      <c r="AN57" s="607"/>
      <c r="AO57" s="607"/>
      <c r="AP57" s="148"/>
      <c r="AQ57" s="168">
        <v>0</v>
      </c>
      <c r="AR57" s="238">
        <v>113732.59999999998</v>
      </c>
      <c r="AU57" s="633">
        <f t="shared" si="3"/>
        <v>0</v>
      </c>
      <c r="AX57" s="358">
        <v>51</v>
      </c>
      <c r="AY57" s="301" t="s">
        <v>324</v>
      </c>
      <c r="AZ57" s="139" t="s">
        <v>325</v>
      </c>
      <c r="BA57" s="633">
        <f t="shared" si="4"/>
        <v>0</v>
      </c>
      <c r="BC57" s="196">
        <v>51</v>
      </c>
      <c r="BD57" s="73" t="s">
        <v>324</v>
      </c>
      <c r="BE57" s="139" t="s">
        <v>325</v>
      </c>
      <c r="BF57" s="168">
        <v>0</v>
      </c>
      <c r="BG57" s="168">
        <v>94522.249999999971</v>
      </c>
    </row>
    <row r="58" spans="1:59">
      <c r="A58" s="139" t="s">
        <v>206</v>
      </c>
      <c r="B58" s="233" t="s">
        <v>205</v>
      </c>
      <c r="C58" s="233" t="str">
        <f t="shared" si="6"/>
        <v>05313 CRESCENT SCHOOL DISTRICT</v>
      </c>
      <c r="D58" s="607"/>
      <c r="E58" s="607"/>
      <c r="F58" s="607"/>
      <c r="G58" s="607">
        <v>694660.78</v>
      </c>
      <c r="H58" s="607">
        <v>113498.97</v>
      </c>
      <c r="I58" s="607">
        <v>74278.399999999994</v>
      </c>
      <c r="J58" s="607">
        <v>160604.92000000001</v>
      </c>
      <c r="K58" s="607"/>
      <c r="L58" s="607">
        <v>12490.28</v>
      </c>
      <c r="M58" s="607">
        <v>148298.57999999999</v>
      </c>
      <c r="N58" s="608">
        <v>6.5699999999999995E-2</v>
      </c>
      <c r="O58" s="608">
        <v>0.1973</v>
      </c>
      <c r="P58" s="607"/>
      <c r="Q58" s="607"/>
      <c r="R58" s="607"/>
      <c r="S58" s="607"/>
      <c r="T58" s="607"/>
      <c r="U58" s="607"/>
      <c r="V58" s="607"/>
      <c r="W58" s="607"/>
      <c r="X58" s="607"/>
      <c r="Y58" s="607">
        <v>326.12</v>
      </c>
      <c r="Z58" s="607"/>
      <c r="AA58" s="607"/>
      <c r="AB58" s="607"/>
      <c r="AC58" s="607">
        <v>29078.82</v>
      </c>
      <c r="AD58" s="607">
        <v>1.72</v>
      </c>
      <c r="AE58" s="607">
        <v>16213.46</v>
      </c>
      <c r="AF58" s="148"/>
      <c r="AG58" s="148"/>
      <c r="AH58" s="148"/>
      <c r="AI58" s="607"/>
      <c r="AJ58" s="607"/>
      <c r="AK58" s="148"/>
      <c r="AL58" s="148"/>
      <c r="AM58" s="148"/>
      <c r="AN58" s="607"/>
      <c r="AO58" s="607"/>
      <c r="AP58" s="148"/>
      <c r="AQ58" s="168">
        <v>0</v>
      </c>
      <c r="AR58" s="238">
        <v>35848.559999999998</v>
      </c>
      <c r="AU58" s="633">
        <f t="shared" si="3"/>
        <v>0</v>
      </c>
      <c r="AX58" s="358">
        <v>52</v>
      </c>
      <c r="AY58" s="301" t="s">
        <v>205</v>
      </c>
      <c r="AZ58" s="139" t="s">
        <v>206</v>
      </c>
      <c r="BA58" s="633">
        <f t="shared" si="4"/>
        <v>0</v>
      </c>
      <c r="BC58" s="196">
        <v>52</v>
      </c>
      <c r="BD58" s="73" t="s">
        <v>205</v>
      </c>
      <c r="BE58" s="139" t="s">
        <v>206</v>
      </c>
      <c r="BF58" s="168">
        <v>0</v>
      </c>
      <c r="BG58" s="168">
        <v>31311.570000000003</v>
      </c>
    </row>
    <row r="59" spans="1:59">
      <c r="A59" s="139" t="s">
        <v>449</v>
      </c>
      <c r="B59" s="233" t="s">
        <v>448</v>
      </c>
      <c r="C59" s="233" t="str">
        <f t="shared" si="6"/>
        <v>22073 CRESTON SCHOOL DISTRICT</v>
      </c>
      <c r="D59" s="607"/>
      <c r="E59" s="607"/>
      <c r="F59" s="607"/>
      <c r="G59" s="607">
        <v>265037.38</v>
      </c>
      <c r="H59" s="607">
        <v>43509.19</v>
      </c>
      <c r="I59" s="607">
        <v>12821.85</v>
      </c>
      <c r="J59" s="607">
        <v>25643.73</v>
      </c>
      <c r="K59" s="607"/>
      <c r="L59" s="607">
        <v>2873.87</v>
      </c>
      <c r="M59" s="607">
        <v>749785.7</v>
      </c>
      <c r="N59" s="608">
        <v>5.9900000000000002E-2</v>
      </c>
      <c r="O59" s="608">
        <v>0.3231</v>
      </c>
      <c r="P59" s="607"/>
      <c r="Q59" s="607"/>
      <c r="R59" s="607"/>
      <c r="S59" s="607"/>
      <c r="T59" s="607"/>
      <c r="U59" s="607"/>
      <c r="V59" s="607"/>
      <c r="W59" s="607"/>
      <c r="X59" s="607"/>
      <c r="Y59" s="607">
        <v>72.11</v>
      </c>
      <c r="Z59" s="607">
        <v>523.74</v>
      </c>
      <c r="AA59" s="607">
        <v>523.74</v>
      </c>
      <c r="AB59" s="607">
        <v>6160.06</v>
      </c>
      <c r="AC59" s="607">
        <v>46533.22</v>
      </c>
      <c r="AD59" s="607">
        <v>4.7699999999999996</v>
      </c>
      <c r="AE59" s="607">
        <v>44801.85</v>
      </c>
      <c r="AF59" s="148"/>
      <c r="AG59" s="148"/>
      <c r="AH59" s="148"/>
      <c r="AI59" s="607">
        <v>0.63</v>
      </c>
      <c r="AJ59" s="607">
        <v>5863.31</v>
      </c>
      <c r="AK59" s="148"/>
      <c r="AL59" s="148"/>
      <c r="AM59" s="148"/>
      <c r="AN59" s="607">
        <v>1343.93</v>
      </c>
      <c r="AO59" s="607"/>
      <c r="AP59" s="148"/>
      <c r="AQ59" s="168">
        <v>33316.129999999997</v>
      </c>
      <c r="AR59" s="238">
        <v>23701.38</v>
      </c>
      <c r="AU59" s="633">
        <f t="shared" si="3"/>
        <v>0</v>
      </c>
      <c r="AX59" s="358">
        <v>53</v>
      </c>
      <c r="AY59" s="301" t="s">
        <v>448</v>
      </c>
      <c r="AZ59" s="139" t="s">
        <v>449</v>
      </c>
      <c r="BA59" s="633">
        <f t="shared" si="4"/>
        <v>0</v>
      </c>
      <c r="BC59" s="196">
        <v>53</v>
      </c>
      <c r="BD59" s="73" t="s">
        <v>448</v>
      </c>
      <c r="BE59" s="139" t="s">
        <v>449</v>
      </c>
      <c r="BF59" s="168">
        <v>33316.129999999997</v>
      </c>
      <c r="BG59" s="168">
        <v>21488.3</v>
      </c>
    </row>
    <row r="60" spans="1:59">
      <c r="A60" s="139" t="s">
        <v>260</v>
      </c>
      <c r="B60" s="233" t="s">
        <v>259</v>
      </c>
      <c r="C60" s="233" t="str">
        <f t="shared" si="6"/>
        <v>10050 CURLEW SCHOOL DISTRICT</v>
      </c>
      <c r="D60" s="607">
        <v>30679.95</v>
      </c>
      <c r="E60" s="607"/>
      <c r="F60" s="607"/>
      <c r="G60" s="607">
        <v>495305.73</v>
      </c>
      <c r="H60" s="607">
        <v>76811.75</v>
      </c>
      <c r="I60" s="607">
        <v>70188.66</v>
      </c>
      <c r="J60" s="607">
        <v>105006.66</v>
      </c>
      <c r="K60" s="607"/>
      <c r="L60" s="607"/>
      <c r="M60" s="607">
        <v>279090.8</v>
      </c>
      <c r="N60" s="608">
        <v>2.7E-2</v>
      </c>
      <c r="O60" s="608">
        <v>0.33939999999999998</v>
      </c>
      <c r="P60" s="607"/>
      <c r="Q60" s="607"/>
      <c r="R60" s="607"/>
      <c r="S60" s="607"/>
      <c r="T60" s="607"/>
      <c r="U60" s="607"/>
      <c r="V60" s="607"/>
      <c r="W60" s="607"/>
      <c r="X60" s="607"/>
      <c r="Y60" s="607">
        <v>153.22999999999999</v>
      </c>
      <c r="Z60" s="607"/>
      <c r="AA60" s="607"/>
      <c r="AB60" s="607"/>
      <c r="AC60" s="607">
        <v>3359.91</v>
      </c>
      <c r="AD60" s="607">
        <v>0.02</v>
      </c>
      <c r="AE60" s="607">
        <v>145.88999999999999</v>
      </c>
      <c r="AF60" s="148"/>
      <c r="AG60" s="148"/>
      <c r="AH60" s="148"/>
      <c r="AI60" s="607"/>
      <c r="AJ60" s="607"/>
      <c r="AK60" s="148"/>
      <c r="AL60" s="148"/>
      <c r="AM60" s="148"/>
      <c r="AN60" s="607">
        <v>1353.21</v>
      </c>
      <c r="AO60" s="607"/>
      <c r="AP60" s="148"/>
      <c r="AQ60" s="168">
        <v>8285.919999999991</v>
      </c>
      <c r="AR60" s="238">
        <v>28702.89</v>
      </c>
      <c r="AU60" s="633">
        <f t="shared" si="3"/>
        <v>0</v>
      </c>
      <c r="AX60" s="358">
        <v>54</v>
      </c>
      <c r="AY60" s="301" t="s">
        <v>259</v>
      </c>
      <c r="AZ60" s="139" t="s">
        <v>260</v>
      </c>
      <c r="BA60" s="633">
        <f t="shared" si="4"/>
        <v>0</v>
      </c>
      <c r="BC60" s="196">
        <v>54</v>
      </c>
      <c r="BD60" s="73" t="s">
        <v>259</v>
      </c>
      <c r="BE60" s="139" t="s">
        <v>260</v>
      </c>
      <c r="BF60" s="168">
        <v>8285.919999999991</v>
      </c>
      <c r="BG60" s="168">
        <v>24579.629999999997</v>
      </c>
    </row>
    <row r="61" spans="1:59">
      <c r="A61" s="139" t="s">
        <v>502</v>
      </c>
      <c r="B61" s="233" t="s">
        <v>501</v>
      </c>
      <c r="C61" s="233" t="str">
        <f t="shared" si="6"/>
        <v>26059 CUSICK SCHOOL DISTRICT</v>
      </c>
      <c r="D61" s="607"/>
      <c r="E61" s="607"/>
      <c r="F61" s="607">
        <v>5787.91</v>
      </c>
      <c r="G61" s="607">
        <v>671249.77</v>
      </c>
      <c r="H61" s="607">
        <v>100978.23</v>
      </c>
      <c r="I61" s="607">
        <v>88205.6</v>
      </c>
      <c r="J61" s="607">
        <v>179727.18</v>
      </c>
      <c r="K61" s="607"/>
      <c r="L61" s="607">
        <v>12269.19</v>
      </c>
      <c r="M61" s="607">
        <v>356723.35</v>
      </c>
      <c r="N61" s="608">
        <v>5.8599999999999999E-2</v>
      </c>
      <c r="O61" s="608">
        <v>0.41220000000000001</v>
      </c>
      <c r="P61" s="607"/>
      <c r="Q61" s="607"/>
      <c r="R61" s="607"/>
      <c r="S61" s="607"/>
      <c r="T61" s="607"/>
      <c r="U61" s="607"/>
      <c r="V61" s="607"/>
      <c r="W61" s="607"/>
      <c r="X61" s="607"/>
      <c r="Y61" s="607"/>
      <c r="Z61" s="607"/>
      <c r="AA61" s="607"/>
      <c r="AB61" s="607">
        <v>30089.14</v>
      </c>
      <c r="AC61" s="607">
        <v>108538.45</v>
      </c>
      <c r="AD61" s="607">
        <v>11.12</v>
      </c>
      <c r="AE61" s="607">
        <v>104726.55</v>
      </c>
      <c r="AF61" s="148"/>
      <c r="AG61" s="148"/>
      <c r="AH61" s="148"/>
      <c r="AI61" s="607">
        <v>3.08</v>
      </c>
      <c r="AJ61" s="607">
        <v>28589.83</v>
      </c>
      <c r="AK61" s="148"/>
      <c r="AL61" s="148"/>
      <c r="AM61" s="148"/>
      <c r="AN61" s="607">
        <v>809.46</v>
      </c>
      <c r="AO61" s="607"/>
      <c r="AP61" s="148"/>
      <c r="AQ61" s="168">
        <v>24609.020000000026</v>
      </c>
      <c r="AR61" s="238">
        <v>41885.11</v>
      </c>
      <c r="AU61" s="633">
        <f t="shared" si="3"/>
        <v>0</v>
      </c>
      <c r="AX61" s="358">
        <v>55</v>
      </c>
      <c r="AY61" s="301" t="s">
        <v>501</v>
      </c>
      <c r="AZ61" s="139" t="s">
        <v>502</v>
      </c>
      <c r="BA61" s="633">
        <f t="shared" si="4"/>
        <v>0</v>
      </c>
      <c r="BC61" s="196">
        <v>55</v>
      </c>
      <c r="BD61" s="73" t="s">
        <v>501</v>
      </c>
      <c r="BE61" s="139" t="s">
        <v>502</v>
      </c>
      <c r="BF61" s="168">
        <v>24609.020000000026</v>
      </c>
      <c r="BG61" s="168">
        <v>36331.89</v>
      </c>
    </row>
    <row r="62" spans="1:59">
      <c r="A62" s="139" t="s">
        <v>385</v>
      </c>
      <c r="B62" s="233" t="s">
        <v>384</v>
      </c>
      <c r="C62" s="233" t="str">
        <f t="shared" si="6"/>
        <v>19007 DAMMAN SCHOOL DISTRICT</v>
      </c>
      <c r="D62" s="607"/>
      <c r="E62" s="607"/>
      <c r="F62" s="607"/>
      <c r="G62" s="607">
        <v>113883.79</v>
      </c>
      <c r="H62" s="607">
        <v>11957.32</v>
      </c>
      <c r="I62" s="607"/>
      <c r="J62" s="607"/>
      <c r="K62" s="607"/>
      <c r="L62" s="607"/>
      <c r="M62" s="607"/>
      <c r="N62" s="608">
        <v>0.14360000000000001</v>
      </c>
      <c r="O62" s="608">
        <v>0.84219999999999995</v>
      </c>
      <c r="P62" s="607"/>
      <c r="Q62" s="607"/>
      <c r="R62" s="607"/>
      <c r="S62" s="607"/>
      <c r="T62" s="607"/>
      <c r="U62" s="607"/>
      <c r="V62" s="607"/>
      <c r="W62" s="607"/>
      <c r="X62" s="607"/>
      <c r="Y62" s="607">
        <v>36.869999999999997</v>
      </c>
      <c r="Z62" s="607"/>
      <c r="AA62" s="607"/>
      <c r="AB62" s="607"/>
      <c r="AC62" s="607"/>
      <c r="AD62" s="607"/>
      <c r="AE62" s="607"/>
      <c r="AF62" s="148"/>
      <c r="AG62" s="148"/>
      <c r="AH62" s="148"/>
      <c r="AI62" s="607"/>
      <c r="AJ62" s="607"/>
      <c r="AK62" s="148"/>
      <c r="AL62" s="148"/>
      <c r="AM62" s="148"/>
      <c r="AN62" s="607"/>
      <c r="AO62" s="607"/>
      <c r="AP62" s="148"/>
      <c r="AQ62" s="168">
        <v>3312.489999999998</v>
      </c>
      <c r="AR62" s="238">
        <v>5148.4500000000007</v>
      </c>
      <c r="AU62" s="633">
        <f t="shared" si="3"/>
        <v>0</v>
      </c>
      <c r="AX62" s="358">
        <v>56</v>
      </c>
      <c r="AY62" s="301" t="s">
        <v>384</v>
      </c>
      <c r="AZ62" s="139" t="s">
        <v>385</v>
      </c>
      <c r="BA62" s="633">
        <f t="shared" si="4"/>
        <v>0</v>
      </c>
      <c r="BC62" s="196">
        <v>56</v>
      </c>
      <c r="BD62" s="73" t="s">
        <v>384</v>
      </c>
      <c r="BE62" s="139" t="s">
        <v>385</v>
      </c>
      <c r="BF62" s="168">
        <v>3312.489999999998</v>
      </c>
      <c r="BG62" s="168">
        <v>4237.8700000000008</v>
      </c>
    </row>
    <row r="63" spans="1:59">
      <c r="A63" s="139" t="s">
        <v>587</v>
      </c>
      <c r="B63" s="233" t="s">
        <v>586</v>
      </c>
      <c r="C63" s="233" t="str">
        <f t="shared" si="6"/>
        <v>31330 DARRINGTON SCHOOL DISTRICT</v>
      </c>
      <c r="D63" s="607"/>
      <c r="E63" s="607"/>
      <c r="F63" s="607"/>
      <c r="G63" s="607">
        <v>1368932.69</v>
      </c>
      <c r="H63" s="607">
        <v>228936.98</v>
      </c>
      <c r="I63" s="607">
        <v>113468.04</v>
      </c>
      <c r="J63" s="607">
        <v>177088.16</v>
      </c>
      <c r="K63" s="607"/>
      <c r="L63" s="607">
        <v>14503.43</v>
      </c>
      <c r="M63" s="607">
        <v>412633.01</v>
      </c>
      <c r="N63" s="608">
        <v>7.2099999999999997E-2</v>
      </c>
      <c r="O63" s="608">
        <v>0.2301</v>
      </c>
      <c r="P63" s="607"/>
      <c r="Q63" s="607"/>
      <c r="R63" s="607"/>
      <c r="S63" s="607"/>
      <c r="T63" s="607"/>
      <c r="U63" s="607"/>
      <c r="V63" s="607"/>
      <c r="W63" s="607"/>
      <c r="X63" s="607"/>
      <c r="Y63" s="607">
        <v>381.84</v>
      </c>
      <c r="Z63" s="607"/>
      <c r="AA63" s="607"/>
      <c r="AB63" s="607"/>
      <c r="AC63" s="607">
        <v>131404.76</v>
      </c>
      <c r="AD63" s="607">
        <v>11.41</v>
      </c>
      <c r="AE63" s="607">
        <v>116330.16</v>
      </c>
      <c r="AF63" s="148"/>
      <c r="AG63" s="148"/>
      <c r="AH63" s="148"/>
      <c r="AI63" s="607"/>
      <c r="AJ63" s="607"/>
      <c r="AK63" s="148"/>
      <c r="AL63" s="148"/>
      <c r="AM63" s="148"/>
      <c r="AN63" s="607"/>
      <c r="AO63" s="607"/>
      <c r="AP63" s="148"/>
      <c r="AQ63" s="168">
        <v>0</v>
      </c>
      <c r="AR63" s="238">
        <v>66866.02</v>
      </c>
      <c r="AU63" s="633">
        <f t="shared" si="3"/>
        <v>0</v>
      </c>
      <c r="AX63" s="358">
        <v>57</v>
      </c>
      <c r="AY63" s="301" t="s">
        <v>586</v>
      </c>
      <c r="AZ63" s="139" t="s">
        <v>587</v>
      </c>
      <c r="BA63" s="633">
        <f t="shared" si="4"/>
        <v>0</v>
      </c>
      <c r="BC63" s="196">
        <v>57</v>
      </c>
      <c r="BD63" s="73" t="s">
        <v>586</v>
      </c>
      <c r="BE63" s="139" t="s">
        <v>587</v>
      </c>
      <c r="BF63" s="168">
        <v>0</v>
      </c>
      <c r="BG63" s="168">
        <v>54784.049999999996</v>
      </c>
    </row>
    <row r="64" spans="1:59">
      <c r="A64" s="139" t="s">
        <v>457</v>
      </c>
      <c r="B64" s="233" t="s">
        <v>456</v>
      </c>
      <c r="C64" s="233" t="str">
        <f t="shared" si="6"/>
        <v>22207 DAVENPORT SCHOOL DISTRICT</v>
      </c>
      <c r="D64" s="607"/>
      <c r="E64" s="607"/>
      <c r="F64" s="607"/>
      <c r="G64" s="607">
        <v>1281627.6100000001</v>
      </c>
      <c r="H64" s="607">
        <v>227320.35</v>
      </c>
      <c r="I64" s="607">
        <v>216645.31</v>
      </c>
      <c r="J64" s="607">
        <v>262627.17</v>
      </c>
      <c r="K64" s="607"/>
      <c r="L64" s="607">
        <v>21111.86</v>
      </c>
      <c r="M64" s="607">
        <v>582830.64</v>
      </c>
      <c r="N64" s="608">
        <v>3.49E-2</v>
      </c>
      <c r="O64" s="608">
        <v>0.19969999999999999</v>
      </c>
      <c r="P64" s="607"/>
      <c r="Q64" s="607"/>
      <c r="R64" s="607"/>
      <c r="S64" s="607"/>
      <c r="T64" s="607"/>
      <c r="U64" s="607"/>
      <c r="V64" s="607"/>
      <c r="W64" s="607"/>
      <c r="X64" s="607"/>
      <c r="Y64" s="607"/>
      <c r="Z64" s="607"/>
      <c r="AA64" s="607"/>
      <c r="AB64" s="607">
        <v>142194.51</v>
      </c>
      <c r="AC64" s="607">
        <v>516246.15</v>
      </c>
      <c r="AD64" s="607">
        <v>51.4</v>
      </c>
      <c r="AE64" s="607">
        <v>484275.7</v>
      </c>
      <c r="AF64" s="148"/>
      <c r="AG64" s="148"/>
      <c r="AH64" s="148"/>
      <c r="AI64" s="607">
        <v>14.34</v>
      </c>
      <c r="AJ64" s="607">
        <v>132422.76</v>
      </c>
      <c r="AK64" s="148"/>
      <c r="AL64" s="148"/>
      <c r="AM64" s="148"/>
      <c r="AN64" s="607"/>
      <c r="AO64" s="607"/>
      <c r="AP64" s="148"/>
      <c r="AQ64" s="168">
        <v>0</v>
      </c>
      <c r="AR64" s="238">
        <v>78793.02</v>
      </c>
      <c r="AU64" s="633">
        <f t="shared" si="3"/>
        <v>0</v>
      </c>
      <c r="AX64" s="358">
        <v>58</v>
      </c>
      <c r="AY64" s="301" t="s">
        <v>456</v>
      </c>
      <c r="AZ64" s="139" t="s">
        <v>457</v>
      </c>
      <c r="BA64" s="633">
        <f t="shared" si="4"/>
        <v>0</v>
      </c>
      <c r="BC64" s="196">
        <v>58</v>
      </c>
      <c r="BD64" s="73" t="s">
        <v>456</v>
      </c>
      <c r="BE64" s="139" t="s">
        <v>457</v>
      </c>
      <c r="BF64" s="168">
        <v>0</v>
      </c>
      <c r="BG64" s="168">
        <v>67860.070000000007</v>
      </c>
    </row>
    <row r="65" spans="1:59">
      <c r="A65" s="139" t="s">
        <v>230</v>
      </c>
      <c r="B65" s="233" t="s">
        <v>229</v>
      </c>
      <c r="C65" s="233" t="str">
        <f t="shared" si="6"/>
        <v>07002 DAYTON SCHOOL DISTRICT</v>
      </c>
      <c r="D65" s="607"/>
      <c r="E65" s="607"/>
      <c r="F65" s="607"/>
      <c r="G65" s="607"/>
      <c r="H65" s="607">
        <v>80859.679999999993</v>
      </c>
      <c r="I65" s="607">
        <v>113494.98</v>
      </c>
      <c r="J65" s="607">
        <v>136811.15</v>
      </c>
      <c r="K65" s="607">
        <v>1578.05</v>
      </c>
      <c r="L65" s="607">
        <v>10743.72</v>
      </c>
      <c r="M65" s="607">
        <v>408532.96</v>
      </c>
      <c r="N65" s="608">
        <v>3.5200000000000002E-2</v>
      </c>
      <c r="O65" s="608">
        <v>0.2283</v>
      </c>
      <c r="P65" s="607"/>
      <c r="Q65" s="607"/>
      <c r="R65" s="607"/>
      <c r="S65" s="607"/>
      <c r="T65" s="607"/>
      <c r="U65" s="607"/>
      <c r="V65" s="607"/>
      <c r="W65" s="607"/>
      <c r="X65" s="607"/>
      <c r="Y65" s="607">
        <v>222.87</v>
      </c>
      <c r="Z65" s="607"/>
      <c r="AA65" s="607"/>
      <c r="AB65" s="607">
        <v>122584.49</v>
      </c>
      <c r="AC65" s="607">
        <v>260023.29</v>
      </c>
      <c r="AD65" s="607">
        <v>23.78</v>
      </c>
      <c r="AE65" s="607">
        <v>228500.2</v>
      </c>
      <c r="AF65" s="148"/>
      <c r="AG65" s="148"/>
      <c r="AH65" s="148"/>
      <c r="AI65" s="607">
        <v>12.13</v>
      </c>
      <c r="AJ65" s="607">
        <v>114283.71</v>
      </c>
      <c r="AK65" s="148"/>
      <c r="AL65" s="148"/>
      <c r="AM65" s="148"/>
      <c r="AN65" s="607">
        <v>3000</v>
      </c>
      <c r="AO65" s="607"/>
      <c r="AP65" s="148"/>
      <c r="AQ65" s="168">
        <v>0</v>
      </c>
      <c r="AR65" s="238">
        <v>42203.499999999993</v>
      </c>
      <c r="AU65" s="633">
        <f t="shared" si="3"/>
        <v>0</v>
      </c>
      <c r="AX65" s="358">
        <v>59</v>
      </c>
      <c r="AY65" s="301" t="s">
        <v>229</v>
      </c>
      <c r="AZ65" s="139" t="s">
        <v>230</v>
      </c>
      <c r="BA65" s="633">
        <f t="shared" si="4"/>
        <v>0</v>
      </c>
      <c r="BC65" s="196">
        <v>59</v>
      </c>
      <c r="BD65" s="73" t="s">
        <v>229</v>
      </c>
      <c r="BE65" s="139" t="s">
        <v>230</v>
      </c>
      <c r="BF65" s="168">
        <v>0</v>
      </c>
      <c r="BG65" s="168">
        <v>42296.779999999992</v>
      </c>
    </row>
    <row r="66" spans="1:59">
      <c r="A66" s="139" t="s">
        <v>615</v>
      </c>
      <c r="B66" s="233" t="s">
        <v>614</v>
      </c>
      <c r="C66" s="233" t="str">
        <f t="shared" si="6"/>
        <v>32414 DEER PARK SCHOOL DISTRICT</v>
      </c>
      <c r="D66" s="607">
        <v>308471.08</v>
      </c>
      <c r="E66" s="607">
        <v>94194.46</v>
      </c>
      <c r="F66" s="607"/>
      <c r="G66" s="607">
        <v>4878525.92</v>
      </c>
      <c r="H66" s="607">
        <v>781976.28</v>
      </c>
      <c r="I66" s="607">
        <v>477393.43</v>
      </c>
      <c r="J66" s="607">
        <v>960755.64</v>
      </c>
      <c r="K66" s="607">
        <v>51233.74</v>
      </c>
      <c r="L66" s="607">
        <v>83452.66</v>
      </c>
      <c r="M66" s="607">
        <v>1802639.75</v>
      </c>
      <c r="N66" s="608">
        <v>3.8199999999999998E-2</v>
      </c>
      <c r="O66" s="608">
        <v>0.19489999999999999</v>
      </c>
      <c r="P66" s="607"/>
      <c r="Q66" s="607"/>
      <c r="R66" s="607"/>
      <c r="S66" s="607"/>
      <c r="T66" s="607"/>
      <c r="U66" s="607"/>
      <c r="V66" s="607"/>
      <c r="W66" s="607"/>
      <c r="X66" s="607"/>
      <c r="Y66" s="607">
        <v>2198.42</v>
      </c>
      <c r="Z66" s="607"/>
      <c r="AA66" s="607"/>
      <c r="AB66" s="607"/>
      <c r="AC66" s="607">
        <v>1049269.51</v>
      </c>
      <c r="AD66" s="607">
        <v>97.99</v>
      </c>
      <c r="AE66" s="607">
        <v>922922.38</v>
      </c>
      <c r="AF66" s="148"/>
      <c r="AG66" s="148"/>
      <c r="AH66" s="148"/>
      <c r="AI66" s="607"/>
      <c r="AJ66" s="607"/>
      <c r="AK66" s="148"/>
      <c r="AL66" s="148"/>
      <c r="AM66" s="148"/>
      <c r="AN66" s="607"/>
      <c r="AO66" s="607"/>
      <c r="AP66" s="148"/>
      <c r="AQ66" s="168">
        <v>129938.00999999989</v>
      </c>
      <c r="AR66" s="238">
        <v>229413.87999999998</v>
      </c>
      <c r="AU66" s="633">
        <f t="shared" si="3"/>
        <v>0</v>
      </c>
      <c r="AX66" s="358">
        <v>60</v>
      </c>
      <c r="AY66" s="301" t="s">
        <v>614</v>
      </c>
      <c r="AZ66" s="139" t="s">
        <v>615</v>
      </c>
      <c r="BA66" s="633">
        <f t="shared" si="4"/>
        <v>0</v>
      </c>
      <c r="BC66" s="196">
        <v>60</v>
      </c>
      <c r="BD66" s="73" t="s">
        <v>614</v>
      </c>
      <c r="BE66" s="139" t="s">
        <v>615</v>
      </c>
      <c r="BF66" s="168">
        <v>129938.00999999989</v>
      </c>
      <c r="BG66" s="168">
        <v>188519.44999999998</v>
      </c>
    </row>
    <row r="67" spans="1:59">
      <c r="A67" s="139" t="s">
        <v>518</v>
      </c>
      <c r="B67" s="233" t="s">
        <v>517</v>
      </c>
      <c r="C67" s="233" t="str">
        <f t="shared" si="6"/>
        <v>27343 DIERINGER SCHOOL DISTRICT</v>
      </c>
      <c r="D67" s="607"/>
      <c r="E67" s="607"/>
      <c r="F67" s="607"/>
      <c r="G67" s="607">
        <v>3241209.94</v>
      </c>
      <c r="H67" s="607">
        <v>468371.57</v>
      </c>
      <c r="I67" s="607"/>
      <c r="J67" s="607">
        <v>254670.9</v>
      </c>
      <c r="K67" s="607">
        <v>245952.4</v>
      </c>
      <c r="L67" s="607">
        <v>50883.92</v>
      </c>
      <c r="M67" s="607">
        <v>1493841.14</v>
      </c>
      <c r="N67" s="608">
        <v>7.4200000000000002E-2</v>
      </c>
      <c r="O67" s="608">
        <v>0.1724</v>
      </c>
      <c r="P67" s="607"/>
      <c r="Q67" s="607"/>
      <c r="R67" s="607"/>
      <c r="S67" s="607"/>
      <c r="T67" s="607"/>
      <c r="U67" s="607"/>
      <c r="V67" s="607"/>
      <c r="W67" s="607"/>
      <c r="X67" s="607"/>
      <c r="Y67" s="607">
        <v>1202.8599999999999</v>
      </c>
      <c r="Z67" s="607">
        <v>80267.94</v>
      </c>
      <c r="AA67" s="607"/>
      <c r="AB67" s="607">
        <v>941199.04</v>
      </c>
      <c r="AC67" s="607"/>
      <c r="AD67" s="607"/>
      <c r="AE67" s="607"/>
      <c r="AF67" s="148"/>
      <c r="AG67" s="148"/>
      <c r="AH67" s="148"/>
      <c r="AI67" s="607">
        <v>87.4</v>
      </c>
      <c r="AJ67" s="607">
        <v>891215.28</v>
      </c>
      <c r="AK67" s="148"/>
      <c r="AL67" s="148"/>
      <c r="AM67" s="148"/>
      <c r="AN67" s="607"/>
      <c r="AO67" s="607"/>
      <c r="AP67" s="148"/>
      <c r="AQ67" s="168">
        <v>0</v>
      </c>
      <c r="AR67" s="238">
        <v>181862.93000000002</v>
      </c>
      <c r="AU67" s="633">
        <f t="shared" si="3"/>
        <v>0</v>
      </c>
      <c r="AX67" s="358">
        <v>61</v>
      </c>
      <c r="AY67" s="301" t="s">
        <v>517</v>
      </c>
      <c r="AZ67" s="139" t="s">
        <v>518</v>
      </c>
      <c r="BA67" s="633">
        <f t="shared" si="4"/>
        <v>0</v>
      </c>
      <c r="BC67" s="196">
        <v>61</v>
      </c>
      <c r="BD67" s="73" t="s">
        <v>517</v>
      </c>
      <c r="BE67" s="139" t="s">
        <v>518</v>
      </c>
      <c r="BF67" s="168">
        <v>0</v>
      </c>
      <c r="BG67" s="168">
        <v>159665.02000000002</v>
      </c>
    </row>
    <row r="68" spans="1:59">
      <c r="A68" s="139" t="s">
        <v>659</v>
      </c>
      <c r="B68" s="233" t="s">
        <v>658</v>
      </c>
      <c r="C68" s="233" t="str">
        <f t="shared" si="6"/>
        <v>36101 DIXIE SCHOOL DISTRICT</v>
      </c>
      <c r="D68" s="607"/>
      <c r="E68" s="607"/>
      <c r="F68" s="607">
        <v>124.3</v>
      </c>
      <c r="G68" s="607"/>
      <c r="H68" s="607">
        <v>8904.65</v>
      </c>
      <c r="I68" s="607">
        <v>4800.38</v>
      </c>
      <c r="J68" s="607">
        <v>10400.86</v>
      </c>
      <c r="K68" s="607"/>
      <c r="L68" s="607"/>
      <c r="M68" s="607">
        <v>115786.04</v>
      </c>
      <c r="N68" s="608">
        <v>0.1633</v>
      </c>
      <c r="O68" s="608">
        <v>0.37480000000000002</v>
      </c>
      <c r="P68" s="607"/>
      <c r="Q68" s="607"/>
      <c r="R68" s="607"/>
      <c r="S68" s="607"/>
      <c r="T68" s="607"/>
      <c r="U68" s="607"/>
      <c r="V68" s="607"/>
      <c r="W68" s="607"/>
      <c r="X68" s="607"/>
      <c r="Y68" s="607">
        <v>12.29</v>
      </c>
      <c r="Z68" s="607"/>
      <c r="AA68" s="607"/>
      <c r="AB68" s="607"/>
      <c r="AC68" s="607"/>
      <c r="AD68" s="607"/>
      <c r="AE68" s="607"/>
      <c r="AF68" s="148"/>
      <c r="AG68" s="148"/>
      <c r="AH68" s="148"/>
      <c r="AI68" s="607"/>
      <c r="AJ68" s="607"/>
      <c r="AK68" s="148"/>
      <c r="AL68" s="148"/>
      <c r="AM68" s="148"/>
      <c r="AN68" s="607"/>
      <c r="AO68" s="607"/>
      <c r="AP68" s="148"/>
      <c r="AQ68" s="168">
        <v>12002.369999999999</v>
      </c>
      <c r="AR68" s="238">
        <v>3756.67</v>
      </c>
      <c r="AU68" s="633">
        <f t="shared" si="3"/>
        <v>0</v>
      </c>
      <c r="AX68" s="358">
        <v>62</v>
      </c>
      <c r="AY68" s="301" t="s">
        <v>658</v>
      </c>
      <c r="AZ68" s="139" t="s">
        <v>659</v>
      </c>
      <c r="BA68" s="633">
        <f t="shared" si="4"/>
        <v>0</v>
      </c>
      <c r="BC68" s="196">
        <v>62</v>
      </c>
      <c r="BD68" s="73" t="s">
        <v>658</v>
      </c>
      <c r="BE68" s="139" t="s">
        <v>659</v>
      </c>
      <c r="BF68" s="168">
        <v>12002.369999999999</v>
      </c>
      <c r="BG68" s="168">
        <v>3861.2200000000003</v>
      </c>
    </row>
    <row r="69" spans="1:59">
      <c r="A69" s="139" t="s">
        <v>802</v>
      </c>
      <c r="B69" s="233" t="s">
        <v>610</v>
      </c>
      <c r="C69" s="233" t="str">
        <f t="shared" si="6"/>
        <v>32361 EAST VALLEY (SPOKANE) SCHOOL DISTRICT</v>
      </c>
      <c r="D69" s="607"/>
      <c r="E69" s="607">
        <v>88801.86</v>
      </c>
      <c r="F69" s="607">
        <v>21637.22</v>
      </c>
      <c r="G69" s="607">
        <v>8917123.0899999999</v>
      </c>
      <c r="H69" s="607">
        <v>1348149.43</v>
      </c>
      <c r="I69" s="607">
        <v>935390.6</v>
      </c>
      <c r="J69" s="607">
        <v>1355882.07</v>
      </c>
      <c r="K69" s="607">
        <v>388763.58</v>
      </c>
      <c r="L69" s="607">
        <v>109494.65</v>
      </c>
      <c r="M69" s="607">
        <v>2891246.93</v>
      </c>
      <c r="N69" s="608">
        <v>2.9499999999999998E-2</v>
      </c>
      <c r="O69" s="608">
        <v>0.17979999999999999</v>
      </c>
      <c r="P69" s="607"/>
      <c r="Q69" s="607"/>
      <c r="R69" s="607"/>
      <c r="S69" s="607"/>
      <c r="T69" s="607"/>
      <c r="U69" s="607"/>
      <c r="V69" s="607"/>
      <c r="W69" s="607"/>
      <c r="X69" s="607"/>
      <c r="Y69" s="607">
        <v>2374.59</v>
      </c>
      <c r="Z69" s="607"/>
      <c r="AA69" s="607"/>
      <c r="AB69" s="607">
        <v>273500.26</v>
      </c>
      <c r="AC69" s="607">
        <v>2044375.75</v>
      </c>
      <c r="AD69" s="607">
        <v>193.2</v>
      </c>
      <c r="AE69" s="607">
        <v>1855603.24</v>
      </c>
      <c r="AF69" s="148"/>
      <c r="AG69" s="148"/>
      <c r="AH69" s="148"/>
      <c r="AI69" s="607">
        <v>26.87</v>
      </c>
      <c r="AJ69" s="607">
        <v>253163</v>
      </c>
      <c r="AK69" s="148"/>
      <c r="AL69" s="148"/>
      <c r="AM69" s="148"/>
      <c r="AN69" s="607"/>
      <c r="AO69" s="607"/>
      <c r="AP69" s="148"/>
      <c r="AQ69" s="168">
        <v>0</v>
      </c>
      <c r="AR69" s="238">
        <v>383056.94999999995</v>
      </c>
      <c r="AU69" s="633">
        <f t="shared" si="3"/>
        <v>0</v>
      </c>
      <c r="AX69" s="358">
        <v>63</v>
      </c>
      <c r="AY69" s="301" t="s">
        <v>610</v>
      </c>
      <c r="AZ69" s="139" t="s">
        <v>802</v>
      </c>
      <c r="BA69" s="633">
        <f t="shared" si="4"/>
        <v>0</v>
      </c>
      <c r="BC69" s="196">
        <v>63</v>
      </c>
      <c r="BD69" s="73" t="s">
        <v>610</v>
      </c>
      <c r="BE69" s="139" t="s">
        <v>802</v>
      </c>
      <c r="BF69" s="168">
        <v>0</v>
      </c>
      <c r="BG69" s="168">
        <v>320541.78999999998</v>
      </c>
    </row>
    <row r="70" spans="1:59">
      <c r="A70" s="139" t="s">
        <v>807</v>
      </c>
      <c r="B70" s="233" t="s">
        <v>717</v>
      </c>
      <c r="C70" s="233" t="str">
        <f t="shared" si="6"/>
        <v>39090 EAST VALLEY (YAKIMA) SCHOOL DISTRICT</v>
      </c>
      <c r="D70" s="607"/>
      <c r="E70" s="607">
        <v>130162.72</v>
      </c>
      <c r="F70" s="607">
        <v>50779.34</v>
      </c>
      <c r="G70" s="607">
        <v>5567130.3600000003</v>
      </c>
      <c r="H70" s="607">
        <v>970386.7</v>
      </c>
      <c r="I70" s="607">
        <v>1089084.83</v>
      </c>
      <c r="J70" s="607">
        <v>1437264.79</v>
      </c>
      <c r="K70" s="607">
        <v>813090.4</v>
      </c>
      <c r="L70" s="607">
        <v>102795.99</v>
      </c>
      <c r="M70" s="607">
        <v>2273920.2999999998</v>
      </c>
      <c r="N70" s="608">
        <v>4.5699999999999998E-2</v>
      </c>
      <c r="O70" s="608">
        <v>0.15529999999999999</v>
      </c>
      <c r="P70" s="607"/>
      <c r="Q70" s="607"/>
      <c r="R70" s="607"/>
      <c r="S70" s="607"/>
      <c r="T70" s="607"/>
      <c r="U70" s="607"/>
      <c r="V70" s="607"/>
      <c r="W70" s="607"/>
      <c r="X70" s="607"/>
      <c r="Y70" s="607">
        <v>364.63</v>
      </c>
      <c r="Z70" s="607"/>
      <c r="AA70" s="607">
        <v>165854.51999999999</v>
      </c>
      <c r="AB70" s="607">
        <v>1098545.17</v>
      </c>
      <c r="AC70" s="607">
        <v>2560190.31</v>
      </c>
      <c r="AD70" s="607">
        <v>251.59</v>
      </c>
      <c r="AE70" s="607">
        <v>2369697.4</v>
      </c>
      <c r="AF70" s="148"/>
      <c r="AG70" s="148"/>
      <c r="AH70" s="148"/>
      <c r="AI70" s="607">
        <v>112.04</v>
      </c>
      <c r="AJ70" s="607">
        <v>1035120.28</v>
      </c>
      <c r="AK70" s="148"/>
      <c r="AL70" s="148"/>
      <c r="AM70" s="148"/>
      <c r="AN70" s="607"/>
      <c r="AO70" s="607"/>
      <c r="AP70" s="148"/>
      <c r="AQ70" s="168">
        <v>18703.929999999702</v>
      </c>
      <c r="AR70" s="238">
        <v>380801.60000000003</v>
      </c>
      <c r="AU70" s="633">
        <f t="shared" si="3"/>
        <v>0</v>
      </c>
      <c r="AX70" s="358">
        <v>64</v>
      </c>
      <c r="AY70" s="301" t="s">
        <v>717</v>
      </c>
      <c r="AZ70" s="139" t="s">
        <v>807</v>
      </c>
      <c r="BA70" s="633">
        <f t="shared" si="4"/>
        <v>0</v>
      </c>
      <c r="BC70" s="196">
        <v>64</v>
      </c>
      <c r="BD70" s="73" t="s">
        <v>717</v>
      </c>
      <c r="BE70" s="139" t="s">
        <v>807</v>
      </c>
      <c r="BF70" s="168">
        <v>18703.929999999702</v>
      </c>
      <c r="BG70" s="168">
        <v>333012.23000000004</v>
      </c>
    </row>
    <row r="71" spans="1:59">
      <c r="A71" s="139" t="s">
        <v>252</v>
      </c>
      <c r="B71" s="233" t="s">
        <v>251</v>
      </c>
      <c r="C71" s="233" t="str">
        <f t="shared" si="6"/>
        <v>09206 EASTMONT SCHOOL DISTRICT</v>
      </c>
      <c r="D71" s="607"/>
      <c r="E71" s="607">
        <v>251616.25</v>
      </c>
      <c r="F71" s="607">
        <v>48755.62</v>
      </c>
      <c r="G71" s="607">
        <v>10487169.41</v>
      </c>
      <c r="H71" s="607">
        <v>1620149.45</v>
      </c>
      <c r="I71" s="607">
        <v>1886140.63</v>
      </c>
      <c r="J71" s="607">
        <v>2404984.0499999998</v>
      </c>
      <c r="K71" s="607">
        <v>2064174.8</v>
      </c>
      <c r="L71" s="607">
        <v>182048.39</v>
      </c>
      <c r="M71" s="607">
        <v>2674834.31</v>
      </c>
      <c r="N71" s="608">
        <v>3.0200000000000001E-2</v>
      </c>
      <c r="O71" s="608">
        <v>0.1507</v>
      </c>
      <c r="P71" s="607"/>
      <c r="Q71" s="607"/>
      <c r="R71" s="607"/>
      <c r="S71" s="607">
        <v>168801.56</v>
      </c>
      <c r="T71" s="607"/>
      <c r="U71" s="607">
        <v>6057.61</v>
      </c>
      <c r="V71" s="607"/>
      <c r="W71" s="607"/>
      <c r="X71" s="607"/>
      <c r="Y71" s="607">
        <v>3884.72</v>
      </c>
      <c r="Z71" s="607">
        <v>12227.74</v>
      </c>
      <c r="AA71" s="607">
        <v>191567.95</v>
      </c>
      <c r="AB71" s="607">
        <v>1238727.6599999999</v>
      </c>
      <c r="AC71" s="607">
        <v>4153528.87</v>
      </c>
      <c r="AD71" s="607">
        <v>405.76</v>
      </c>
      <c r="AE71" s="607">
        <v>3821979.85</v>
      </c>
      <c r="AF71" s="148"/>
      <c r="AG71" s="148"/>
      <c r="AH71" s="148"/>
      <c r="AI71" s="607">
        <v>124.33</v>
      </c>
      <c r="AJ71" s="607">
        <v>1148526.98</v>
      </c>
      <c r="AK71" s="148"/>
      <c r="AL71" s="148"/>
      <c r="AM71" s="148"/>
      <c r="AN71" s="607"/>
      <c r="AO71" s="607"/>
      <c r="AP71" s="148"/>
      <c r="AQ71" s="168">
        <v>0</v>
      </c>
      <c r="AR71" s="238">
        <v>646580.03</v>
      </c>
      <c r="AU71" s="633">
        <f t="shared" si="3"/>
        <v>0</v>
      </c>
      <c r="AX71" s="358">
        <v>65</v>
      </c>
      <c r="AY71" s="301" t="s">
        <v>251</v>
      </c>
      <c r="AZ71" s="139" t="s">
        <v>252</v>
      </c>
      <c r="BA71" s="633">
        <f t="shared" si="4"/>
        <v>0</v>
      </c>
      <c r="BC71" s="196">
        <v>65</v>
      </c>
      <c r="BD71" s="73" t="s">
        <v>251</v>
      </c>
      <c r="BE71" s="139" t="s">
        <v>252</v>
      </c>
      <c r="BF71" s="168">
        <v>0</v>
      </c>
      <c r="BG71" s="168">
        <v>575297.79</v>
      </c>
    </row>
    <row r="72" spans="1:59">
      <c r="A72" s="139" t="s">
        <v>387</v>
      </c>
      <c r="B72" s="233" t="s">
        <v>386</v>
      </c>
      <c r="C72" s="233" t="str">
        <f t="shared" si="6"/>
        <v>19028 EASTON SCHOOL DISTRICT</v>
      </c>
      <c r="D72" s="607"/>
      <c r="E72" s="607">
        <v>2528.0100000000002</v>
      </c>
      <c r="F72" s="607">
        <v>358.78</v>
      </c>
      <c r="G72" s="607">
        <v>216637.8</v>
      </c>
      <c r="H72" s="607">
        <v>31679.13</v>
      </c>
      <c r="I72" s="607">
        <v>29981.89</v>
      </c>
      <c r="J72" s="607">
        <v>50701.07</v>
      </c>
      <c r="K72" s="607"/>
      <c r="L72" s="607"/>
      <c r="M72" s="607">
        <v>152238.54999999999</v>
      </c>
      <c r="N72" s="608">
        <v>0.1</v>
      </c>
      <c r="O72" s="608">
        <v>0.41470000000000001</v>
      </c>
      <c r="P72" s="607"/>
      <c r="Q72" s="607"/>
      <c r="R72" s="607"/>
      <c r="S72" s="607"/>
      <c r="T72" s="607"/>
      <c r="U72" s="607"/>
      <c r="V72" s="607"/>
      <c r="W72" s="607"/>
      <c r="X72" s="607"/>
      <c r="Y72" s="607">
        <v>68.83</v>
      </c>
      <c r="Z72" s="607"/>
      <c r="AA72" s="607"/>
      <c r="AB72" s="607">
        <v>4046</v>
      </c>
      <c r="AC72" s="607">
        <v>21970.98</v>
      </c>
      <c r="AD72" s="607">
        <v>2.0699999999999998</v>
      </c>
      <c r="AE72" s="607">
        <v>21085.86</v>
      </c>
      <c r="AF72" s="148"/>
      <c r="AG72" s="148"/>
      <c r="AH72" s="148"/>
      <c r="AI72" s="607">
        <v>0.39</v>
      </c>
      <c r="AJ72" s="607">
        <v>3782.82</v>
      </c>
      <c r="AK72" s="148"/>
      <c r="AL72" s="148"/>
      <c r="AM72" s="148"/>
      <c r="AN72" s="607">
        <v>556.01</v>
      </c>
      <c r="AO72" s="607"/>
      <c r="AP72" s="148"/>
      <c r="AQ72" s="168">
        <v>57615.009999999995</v>
      </c>
      <c r="AR72" s="238">
        <v>24971.52</v>
      </c>
      <c r="AU72" s="633">
        <f t="shared" ref="AU72:AU135" si="7">+B72-AY72</f>
        <v>0</v>
      </c>
      <c r="AX72" s="358">
        <v>66</v>
      </c>
      <c r="AY72" s="301" t="s">
        <v>386</v>
      </c>
      <c r="AZ72" s="139" t="s">
        <v>387</v>
      </c>
      <c r="BA72" s="633">
        <f t="shared" ref="BA72:BA135" si="8">+AY72-BD72</f>
        <v>0</v>
      </c>
      <c r="BC72" s="196">
        <v>66</v>
      </c>
      <c r="BD72" s="73" t="s">
        <v>386</v>
      </c>
      <c r="BE72" s="139" t="s">
        <v>387</v>
      </c>
      <c r="BF72" s="168">
        <v>57615.009999999995</v>
      </c>
      <c r="BG72" s="168">
        <v>23162.260000000002</v>
      </c>
    </row>
    <row r="73" spans="1:59">
      <c r="A73" s="139" t="s">
        <v>530</v>
      </c>
      <c r="B73" s="233" t="s">
        <v>529</v>
      </c>
      <c r="C73" s="233" t="str">
        <f t="shared" si="6"/>
        <v>27404 EATONVILLE SCHOOL DISTRICT</v>
      </c>
      <c r="D73" s="607"/>
      <c r="E73" s="607">
        <v>48756.79</v>
      </c>
      <c r="F73" s="607"/>
      <c r="G73" s="607">
        <v>3611969.54</v>
      </c>
      <c r="H73" s="607">
        <v>612800.89</v>
      </c>
      <c r="I73" s="607">
        <v>72399.320000000007</v>
      </c>
      <c r="J73" s="607">
        <v>615449.55000000005</v>
      </c>
      <c r="K73" s="607">
        <v>47200.45</v>
      </c>
      <c r="L73" s="607">
        <v>61235.45</v>
      </c>
      <c r="M73" s="607">
        <v>1704717.44</v>
      </c>
      <c r="N73" s="608">
        <v>3.6299999999999999E-2</v>
      </c>
      <c r="O73" s="608">
        <v>0.17519999999999999</v>
      </c>
      <c r="P73" s="607"/>
      <c r="Q73" s="607"/>
      <c r="R73" s="607"/>
      <c r="S73" s="607"/>
      <c r="T73" s="607"/>
      <c r="U73" s="607"/>
      <c r="V73" s="607"/>
      <c r="W73" s="607"/>
      <c r="X73" s="607"/>
      <c r="Y73" s="607">
        <v>455.58</v>
      </c>
      <c r="Z73" s="607"/>
      <c r="AA73" s="607"/>
      <c r="AB73" s="607">
        <v>671475.94</v>
      </c>
      <c r="AC73" s="607">
        <v>1263630.3899999999</v>
      </c>
      <c r="AD73" s="607">
        <v>120.17</v>
      </c>
      <c r="AE73" s="607">
        <v>1131959.27</v>
      </c>
      <c r="AF73" s="148"/>
      <c r="AG73" s="148"/>
      <c r="AH73" s="148"/>
      <c r="AI73" s="607">
        <v>67.83</v>
      </c>
      <c r="AJ73" s="607">
        <v>626588.18000000005</v>
      </c>
      <c r="AK73" s="148"/>
      <c r="AL73" s="148"/>
      <c r="AM73" s="148"/>
      <c r="AN73" s="607">
        <v>7000</v>
      </c>
      <c r="AO73" s="607"/>
      <c r="AP73" s="148"/>
      <c r="AQ73" s="168">
        <v>40267.959999999963</v>
      </c>
      <c r="AR73" s="238">
        <v>204031.94999999995</v>
      </c>
      <c r="AU73" s="633">
        <f t="shared" si="7"/>
        <v>0</v>
      </c>
      <c r="AX73" s="358">
        <v>67</v>
      </c>
      <c r="AY73" s="301" t="s">
        <v>529</v>
      </c>
      <c r="AZ73" s="139" t="s">
        <v>530</v>
      </c>
      <c r="BA73" s="633">
        <f t="shared" si="8"/>
        <v>0</v>
      </c>
      <c r="BC73" s="196">
        <v>67</v>
      </c>
      <c r="BD73" s="73" t="s">
        <v>529</v>
      </c>
      <c r="BE73" s="139" t="s">
        <v>530</v>
      </c>
      <c r="BF73" s="168">
        <v>40267.959999999963</v>
      </c>
      <c r="BG73" s="168">
        <v>175899.29999999996</v>
      </c>
    </row>
    <row r="74" spans="1:59">
      <c r="A74" s="139" t="s">
        <v>571</v>
      </c>
      <c r="B74" s="233" t="s">
        <v>570</v>
      </c>
      <c r="C74" s="233" t="str">
        <f t="shared" si="6"/>
        <v>31015 EDMONDS SCHOOL DISTRICT</v>
      </c>
      <c r="D74" s="607"/>
      <c r="E74" s="607">
        <v>323548.84000000003</v>
      </c>
      <c r="F74" s="607">
        <v>125531.77</v>
      </c>
      <c r="G74" s="607">
        <v>55497841.200000003</v>
      </c>
      <c r="H74" s="607">
        <v>8133222.6200000001</v>
      </c>
      <c r="I74" s="607">
        <v>1826894.92</v>
      </c>
      <c r="J74" s="607">
        <v>6818681.5300000003</v>
      </c>
      <c r="K74" s="607">
        <v>7931911.8600000003</v>
      </c>
      <c r="L74" s="607">
        <v>729967.16</v>
      </c>
      <c r="M74" s="607">
        <v>20614526.350000001</v>
      </c>
      <c r="N74" s="608">
        <v>3.7999999999999999E-2</v>
      </c>
      <c r="O74" s="608">
        <v>0.1308</v>
      </c>
      <c r="P74" s="607"/>
      <c r="Q74" s="607"/>
      <c r="R74" s="607"/>
      <c r="S74" s="607"/>
      <c r="T74" s="607"/>
      <c r="U74" s="607"/>
      <c r="V74" s="607"/>
      <c r="W74" s="607"/>
      <c r="X74" s="607"/>
      <c r="Y74" s="607">
        <v>16351.73</v>
      </c>
      <c r="Z74" s="607">
        <v>20724.25</v>
      </c>
      <c r="AA74" s="607">
        <v>393760.78</v>
      </c>
      <c r="AB74" s="607">
        <v>1129054.6000000001</v>
      </c>
      <c r="AC74" s="607">
        <v>11318924.32</v>
      </c>
      <c r="AD74" s="607">
        <v>932.19</v>
      </c>
      <c r="AE74" s="607">
        <v>9856253.8300000001</v>
      </c>
      <c r="AF74" s="148"/>
      <c r="AG74" s="148"/>
      <c r="AH74" s="148"/>
      <c r="AI74" s="607">
        <v>101.66</v>
      </c>
      <c r="AJ74" s="607">
        <v>1056768.2</v>
      </c>
      <c r="AK74" s="148"/>
      <c r="AL74" s="148"/>
      <c r="AM74" s="148"/>
      <c r="AN74" s="607"/>
      <c r="AO74" s="607"/>
      <c r="AP74" s="148"/>
      <c r="AQ74" s="168">
        <v>0</v>
      </c>
      <c r="AR74" s="238">
        <v>2500577.9900000002</v>
      </c>
      <c r="AU74" s="633">
        <f t="shared" si="7"/>
        <v>0</v>
      </c>
      <c r="AX74" s="358">
        <v>68</v>
      </c>
      <c r="AY74" s="301" t="s">
        <v>570</v>
      </c>
      <c r="AZ74" s="139" t="s">
        <v>571</v>
      </c>
      <c r="BA74" s="633">
        <f t="shared" si="8"/>
        <v>0</v>
      </c>
      <c r="BC74" s="196">
        <v>68</v>
      </c>
      <c r="BD74" s="73" t="s">
        <v>570</v>
      </c>
      <c r="BE74" s="139" t="s">
        <v>571</v>
      </c>
      <c r="BF74" s="168">
        <v>0</v>
      </c>
      <c r="BG74" s="168">
        <v>2154482.87</v>
      </c>
    </row>
    <row r="75" spans="1:59">
      <c r="A75" s="139" t="s">
        <v>391</v>
      </c>
      <c r="B75" s="233" t="s">
        <v>390</v>
      </c>
      <c r="C75" s="233" t="str">
        <f t="shared" si="6"/>
        <v>19401 ELLENSBURG SCHOOL DISTRICT</v>
      </c>
      <c r="D75" s="607"/>
      <c r="E75" s="607">
        <v>81501.960000000006</v>
      </c>
      <c r="F75" s="607">
        <v>26558.22</v>
      </c>
      <c r="G75" s="607">
        <v>5750575.7699999996</v>
      </c>
      <c r="H75" s="607">
        <v>1010741.62</v>
      </c>
      <c r="I75" s="607">
        <v>527022.89</v>
      </c>
      <c r="J75" s="607">
        <v>1051061.3899999999</v>
      </c>
      <c r="K75" s="607">
        <v>392864.7</v>
      </c>
      <c r="L75" s="607">
        <v>102574.93</v>
      </c>
      <c r="M75" s="607">
        <v>2061215.14</v>
      </c>
      <c r="N75" s="608">
        <v>4.1399999999999999E-2</v>
      </c>
      <c r="O75" s="608">
        <v>0.1613</v>
      </c>
      <c r="P75" s="607"/>
      <c r="Q75" s="607"/>
      <c r="R75" s="607"/>
      <c r="S75" s="607"/>
      <c r="T75" s="607"/>
      <c r="U75" s="607"/>
      <c r="V75" s="607"/>
      <c r="W75" s="607"/>
      <c r="X75" s="607"/>
      <c r="Y75" s="607">
        <v>2465.54</v>
      </c>
      <c r="Z75" s="607">
        <v>20906.62</v>
      </c>
      <c r="AA75" s="607">
        <v>169153.58</v>
      </c>
      <c r="AB75" s="607">
        <v>281570.56</v>
      </c>
      <c r="AC75" s="607">
        <v>1922108.44</v>
      </c>
      <c r="AD75" s="607">
        <v>193.7</v>
      </c>
      <c r="AE75" s="607">
        <v>1824650.74</v>
      </c>
      <c r="AF75" s="148"/>
      <c r="AG75" s="148"/>
      <c r="AH75" s="148"/>
      <c r="AI75" s="607">
        <v>28.59</v>
      </c>
      <c r="AJ75" s="607">
        <v>264193.56</v>
      </c>
      <c r="AK75" s="148"/>
      <c r="AL75" s="148"/>
      <c r="AM75" s="148"/>
      <c r="AN75" s="607"/>
      <c r="AO75" s="607"/>
      <c r="AP75" s="148"/>
      <c r="AQ75" s="168">
        <v>0</v>
      </c>
      <c r="AR75" s="238">
        <v>342199.8</v>
      </c>
      <c r="AU75" s="633">
        <f t="shared" si="7"/>
        <v>0</v>
      </c>
      <c r="AX75" s="358">
        <v>69</v>
      </c>
      <c r="AY75" s="301" t="s">
        <v>390</v>
      </c>
      <c r="AZ75" s="139" t="s">
        <v>391</v>
      </c>
      <c r="BA75" s="633">
        <f t="shared" si="8"/>
        <v>0</v>
      </c>
      <c r="BC75" s="196">
        <v>69</v>
      </c>
      <c r="BD75" s="73" t="s">
        <v>390</v>
      </c>
      <c r="BE75" s="139" t="s">
        <v>391</v>
      </c>
      <c r="BF75" s="168">
        <v>0</v>
      </c>
      <c r="BG75" s="168">
        <v>293407.57</v>
      </c>
    </row>
    <row r="76" spans="1:59">
      <c r="A76" s="139" t="s">
        <v>308</v>
      </c>
      <c r="B76" s="233" t="s">
        <v>307</v>
      </c>
      <c r="C76" s="233" t="str">
        <f t="shared" si="6"/>
        <v>14068 ELMA SCHOOL DISTRICT</v>
      </c>
      <c r="D76" s="607"/>
      <c r="E76" s="607">
        <v>82224.3</v>
      </c>
      <c r="F76" s="607">
        <v>51458.47</v>
      </c>
      <c r="G76" s="607">
        <v>3246535.07</v>
      </c>
      <c r="H76" s="607">
        <v>575928.35</v>
      </c>
      <c r="I76" s="607">
        <v>511769.29</v>
      </c>
      <c r="J76" s="607">
        <v>714045.27</v>
      </c>
      <c r="K76" s="607">
        <v>238291.4</v>
      </c>
      <c r="L76" s="607">
        <v>49850.53</v>
      </c>
      <c r="M76" s="607">
        <v>1287777.42</v>
      </c>
      <c r="N76" s="608">
        <v>4.19E-2</v>
      </c>
      <c r="O76" s="608">
        <v>0.1431</v>
      </c>
      <c r="P76" s="607"/>
      <c r="Q76" s="607"/>
      <c r="R76" s="607"/>
      <c r="S76" s="607"/>
      <c r="T76" s="607"/>
      <c r="U76" s="607"/>
      <c r="V76" s="607"/>
      <c r="W76" s="607"/>
      <c r="X76" s="607"/>
      <c r="Y76" s="607">
        <v>1302.83</v>
      </c>
      <c r="Z76" s="607">
        <v>39688.57</v>
      </c>
      <c r="AA76" s="607">
        <v>291049.55</v>
      </c>
      <c r="AB76" s="607">
        <v>460884.85</v>
      </c>
      <c r="AC76" s="607">
        <v>3249230.5</v>
      </c>
      <c r="AD76" s="607">
        <v>323.82</v>
      </c>
      <c r="AE76" s="607">
        <v>3050240.93</v>
      </c>
      <c r="AF76" s="148"/>
      <c r="AG76" s="148"/>
      <c r="AH76" s="148"/>
      <c r="AI76" s="607">
        <v>46.83</v>
      </c>
      <c r="AJ76" s="607">
        <v>432832.05</v>
      </c>
      <c r="AK76" s="148"/>
      <c r="AL76" s="148"/>
      <c r="AM76" s="148"/>
      <c r="AN76" s="607">
        <v>2117.0700000000002</v>
      </c>
      <c r="AO76" s="607"/>
      <c r="AP76" s="148"/>
      <c r="AQ76" s="168">
        <v>56439.150000000081</v>
      </c>
      <c r="AR76" s="238">
        <v>176989.7</v>
      </c>
      <c r="AU76" s="633">
        <f t="shared" si="7"/>
        <v>0</v>
      </c>
      <c r="AX76" s="358">
        <v>70</v>
      </c>
      <c r="AY76" s="301" t="s">
        <v>307</v>
      </c>
      <c r="AZ76" s="139" t="s">
        <v>308</v>
      </c>
      <c r="BA76" s="633">
        <f t="shared" si="8"/>
        <v>0</v>
      </c>
      <c r="BC76" s="196">
        <v>70</v>
      </c>
      <c r="BD76" s="73" t="s">
        <v>307</v>
      </c>
      <c r="BE76" s="139" t="s">
        <v>308</v>
      </c>
      <c r="BF76" s="168">
        <v>56439.150000000081</v>
      </c>
      <c r="BG76" s="168">
        <v>149481.12000000002</v>
      </c>
    </row>
    <row r="77" spans="1:59">
      <c r="A77" s="139" t="s">
        <v>704</v>
      </c>
      <c r="B77" s="233" t="s">
        <v>703</v>
      </c>
      <c r="C77" s="233" t="str">
        <f t="shared" si="6"/>
        <v>38308 ENDICOTT SCHOOL DISTRICT</v>
      </c>
      <c r="D77" s="607"/>
      <c r="E77" s="607"/>
      <c r="F77" s="607"/>
      <c r="G77" s="607">
        <v>207547.7</v>
      </c>
      <c r="H77" s="607">
        <v>33589.800000000003</v>
      </c>
      <c r="I77" s="607">
        <v>23433.08</v>
      </c>
      <c r="J77" s="607">
        <v>34044.269999999997</v>
      </c>
      <c r="K77" s="607"/>
      <c r="L77" s="607"/>
      <c r="M77" s="607">
        <v>212123.67</v>
      </c>
      <c r="N77" s="608">
        <v>8.8900000000000007E-2</v>
      </c>
      <c r="O77" s="608">
        <v>0.34229999999999999</v>
      </c>
      <c r="P77" s="607"/>
      <c r="Q77" s="607"/>
      <c r="R77" s="607"/>
      <c r="S77" s="607"/>
      <c r="T77" s="607"/>
      <c r="U77" s="607"/>
      <c r="V77" s="607"/>
      <c r="W77" s="607"/>
      <c r="X77" s="607"/>
      <c r="Y77" s="607">
        <v>64.73</v>
      </c>
      <c r="Z77" s="607"/>
      <c r="AA77" s="607"/>
      <c r="AB77" s="607"/>
      <c r="AC77" s="607"/>
      <c r="AD77" s="607"/>
      <c r="AE77" s="607"/>
      <c r="AF77" s="148"/>
      <c r="AG77" s="148"/>
      <c r="AH77" s="148"/>
      <c r="AI77" s="607"/>
      <c r="AJ77" s="607"/>
      <c r="AK77" s="148"/>
      <c r="AL77" s="148"/>
      <c r="AM77" s="148"/>
      <c r="AN77" s="607"/>
      <c r="AO77" s="607"/>
      <c r="AP77" s="148"/>
      <c r="AQ77" s="168">
        <v>23143.69</v>
      </c>
      <c r="AR77" s="238">
        <v>22114.44</v>
      </c>
      <c r="AU77" s="633">
        <f t="shared" si="7"/>
        <v>0</v>
      </c>
      <c r="AX77" s="358">
        <v>71</v>
      </c>
      <c r="AY77" s="301" t="s">
        <v>703</v>
      </c>
      <c r="AZ77" s="139" t="s">
        <v>704</v>
      </c>
      <c r="BA77" s="633">
        <f t="shared" si="8"/>
        <v>0</v>
      </c>
      <c r="BC77" s="196">
        <v>71</v>
      </c>
      <c r="BD77" s="73" t="s">
        <v>703</v>
      </c>
      <c r="BE77" s="139" t="s">
        <v>704</v>
      </c>
      <c r="BF77" s="168">
        <v>23143.69</v>
      </c>
      <c r="BG77" s="168">
        <v>20436.579999999998</v>
      </c>
    </row>
    <row r="78" spans="1:59">
      <c r="A78" s="139" t="s">
        <v>194</v>
      </c>
      <c r="B78" s="233" t="s">
        <v>193</v>
      </c>
      <c r="C78" s="233" t="str">
        <f t="shared" si="6"/>
        <v>04127 ENTIAT SCHOOL DISTRICT</v>
      </c>
      <c r="D78" s="607"/>
      <c r="E78" s="607"/>
      <c r="F78" s="607"/>
      <c r="G78" s="607"/>
      <c r="H78" s="607">
        <v>113209.06</v>
      </c>
      <c r="I78" s="607">
        <v>135439.62</v>
      </c>
      <c r="J78" s="607">
        <v>194072.98</v>
      </c>
      <c r="K78" s="607">
        <v>223744.77</v>
      </c>
      <c r="L78" s="607">
        <v>13372.52</v>
      </c>
      <c r="M78" s="607">
        <v>285688.34999999998</v>
      </c>
      <c r="N78" s="608">
        <v>8.4199999999999997E-2</v>
      </c>
      <c r="O78" s="608">
        <v>0.20150000000000001</v>
      </c>
      <c r="P78" s="607"/>
      <c r="Q78" s="607"/>
      <c r="R78" s="607"/>
      <c r="S78" s="607"/>
      <c r="T78" s="607"/>
      <c r="U78" s="607"/>
      <c r="V78" s="607"/>
      <c r="W78" s="607"/>
      <c r="X78" s="607"/>
      <c r="Y78" s="607">
        <v>366.27</v>
      </c>
      <c r="Z78" s="607">
        <v>8296.2999999999993</v>
      </c>
      <c r="AA78" s="607"/>
      <c r="AB78" s="607">
        <v>261352.18</v>
      </c>
      <c r="AC78" s="607">
        <v>264794.78000000003</v>
      </c>
      <c r="AD78" s="607">
        <v>24.84</v>
      </c>
      <c r="AE78" s="607">
        <v>238552.72</v>
      </c>
      <c r="AF78" s="148"/>
      <c r="AG78" s="148"/>
      <c r="AH78" s="148"/>
      <c r="AI78" s="607">
        <v>26.24</v>
      </c>
      <c r="AJ78" s="607">
        <v>247246.8</v>
      </c>
      <c r="AK78" s="148"/>
      <c r="AL78" s="148"/>
      <c r="AM78" s="148"/>
      <c r="AN78" s="607">
        <v>2688.97</v>
      </c>
      <c r="AO78" s="607"/>
      <c r="AP78" s="148"/>
      <c r="AQ78" s="168">
        <v>5.0000000017462298E-2</v>
      </c>
      <c r="AR78" s="238">
        <v>54251.130000000005</v>
      </c>
      <c r="AU78" s="633">
        <f t="shared" si="7"/>
        <v>0</v>
      </c>
      <c r="AX78" s="358">
        <v>72</v>
      </c>
      <c r="AY78" s="301" t="s">
        <v>193</v>
      </c>
      <c r="AZ78" s="139" t="s">
        <v>194</v>
      </c>
      <c r="BA78" s="633">
        <f t="shared" si="8"/>
        <v>0</v>
      </c>
      <c r="BC78" s="196">
        <v>72</v>
      </c>
      <c r="BD78" s="73" t="s">
        <v>193</v>
      </c>
      <c r="BE78" s="139" t="s">
        <v>194</v>
      </c>
      <c r="BF78" s="168">
        <v>5.0000000017462298E-2</v>
      </c>
      <c r="BG78" s="168">
        <v>54344.380000000005</v>
      </c>
    </row>
    <row r="79" spans="1:59">
      <c r="A79" s="139" t="s">
        <v>343</v>
      </c>
      <c r="B79" s="233" t="s">
        <v>342</v>
      </c>
      <c r="C79" s="233" t="str">
        <f t="shared" si="6"/>
        <v>17216 ENUMCLAW SCHOOL DISTRICT</v>
      </c>
      <c r="D79" s="607"/>
      <c r="E79" s="607">
        <v>94380.35</v>
      </c>
      <c r="F79" s="607"/>
      <c r="G79" s="607">
        <v>11194333.869999999</v>
      </c>
      <c r="H79" s="607">
        <v>1557469.83</v>
      </c>
      <c r="I79" s="607"/>
      <c r="J79" s="607">
        <v>1046806.71</v>
      </c>
      <c r="K79" s="607">
        <v>654345.34</v>
      </c>
      <c r="L79" s="607">
        <v>153200.14000000001</v>
      </c>
      <c r="M79" s="607">
        <v>3667487.95</v>
      </c>
      <c r="N79" s="608">
        <v>3.73E-2</v>
      </c>
      <c r="O79" s="608">
        <v>0.17829999999999999</v>
      </c>
      <c r="P79" s="607"/>
      <c r="Q79" s="607"/>
      <c r="R79" s="607"/>
      <c r="S79" s="607"/>
      <c r="T79" s="607"/>
      <c r="U79" s="607"/>
      <c r="V79" s="607"/>
      <c r="W79" s="607"/>
      <c r="X79" s="607"/>
      <c r="Y79" s="607">
        <v>694.84</v>
      </c>
      <c r="Z79" s="607">
        <v>93153.4</v>
      </c>
      <c r="AA79" s="607">
        <v>251859.19</v>
      </c>
      <c r="AB79" s="607">
        <v>1818107.24</v>
      </c>
      <c r="AC79" s="607">
        <v>5099361.66</v>
      </c>
      <c r="AD79" s="607">
        <v>456.03</v>
      </c>
      <c r="AE79" s="607">
        <v>4646324.9800000004</v>
      </c>
      <c r="AF79" s="148"/>
      <c r="AG79" s="148"/>
      <c r="AH79" s="148"/>
      <c r="AI79" s="607">
        <v>169.8</v>
      </c>
      <c r="AJ79" s="607">
        <v>1699713.93</v>
      </c>
      <c r="AK79" s="148"/>
      <c r="AL79" s="148"/>
      <c r="AM79" s="148"/>
      <c r="AN79" s="607">
        <v>6902.95</v>
      </c>
      <c r="AO79" s="607"/>
      <c r="AP79" s="148"/>
      <c r="AQ79" s="168">
        <v>218516.09000000043</v>
      </c>
      <c r="AR79" s="238">
        <v>527602.6</v>
      </c>
      <c r="AU79" s="633">
        <f t="shared" si="7"/>
        <v>0</v>
      </c>
      <c r="AX79" s="358">
        <v>73</v>
      </c>
      <c r="AY79" s="301" t="s">
        <v>342</v>
      </c>
      <c r="AZ79" s="139" t="s">
        <v>343</v>
      </c>
      <c r="BA79" s="633">
        <f t="shared" si="8"/>
        <v>0</v>
      </c>
      <c r="BC79" s="196">
        <v>73</v>
      </c>
      <c r="BD79" s="73" t="s">
        <v>342</v>
      </c>
      <c r="BE79" s="139" t="s">
        <v>343</v>
      </c>
      <c r="BF79" s="168">
        <v>218516.09000000043</v>
      </c>
      <c r="BG79" s="168">
        <v>456818.99000000005</v>
      </c>
    </row>
    <row r="80" spans="1:59">
      <c r="A80" s="139" t="s">
        <v>292</v>
      </c>
      <c r="B80" s="233" t="s">
        <v>291</v>
      </c>
      <c r="C80" s="233" t="str">
        <f t="shared" si="6"/>
        <v>13165 EPHRATA SCHOOL DISTRICT</v>
      </c>
      <c r="D80" s="607">
        <v>441236.64</v>
      </c>
      <c r="E80" s="607">
        <v>100538.88</v>
      </c>
      <c r="F80" s="607">
        <v>51931.32</v>
      </c>
      <c r="G80" s="607">
        <v>4762247.42</v>
      </c>
      <c r="H80" s="607">
        <v>789328.85</v>
      </c>
      <c r="I80" s="607">
        <v>907274.04</v>
      </c>
      <c r="J80" s="607">
        <v>1160894.74</v>
      </c>
      <c r="K80" s="607">
        <v>832195.28</v>
      </c>
      <c r="L80" s="607">
        <v>88235.77</v>
      </c>
      <c r="M80" s="607">
        <v>2333590.16</v>
      </c>
      <c r="N80" s="608">
        <v>5.4699999999999999E-2</v>
      </c>
      <c r="O80" s="608">
        <v>0.18490000000000001</v>
      </c>
      <c r="P80" s="607"/>
      <c r="Q80" s="607"/>
      <c r="R80" s="607"/>
      <c r="S80" s="607">
        <v>122632.73</v>
      </c>
      <c r="T80" s="607"/>
      <c r="U80" s="607">
        <v>5129.8900000000003</v>
      </c>
      <c r="V80" s="607"/>
      <c r="W80" s="607"/>
      <c r="X80" s="607"/>
      <c r="Y80" s="607">
        <v>2309.86</v>
      </c>
      <c r="Z80" s="607">
        <v>45890.45</v>
      </c>
      <c r="AA80" s="607">
        <v>165586.28</v>
      </c>
      <c r="AB80" s="607">
        <v>430456.48</v>
      </c>
      <c r="AC80" s="607">
        <v>2213104.98</v>
      </c>
      <c r="AD80" s="607">
        <v>215.7</v>
      </c>
      <c r="AE80" s="607">
        <v>2071775.99</v>
      </c>
      <c r="AF80" s="148"/>
      <c r="AG80" s="148"/>
      <c r="AH80" s="148"/>
      <c r="AI80" s="607">
        <v>43.23</v>
      </c>
      <c r="AJ80" s="607">
        <v>407250.51</v>
      </c>
      <c r="AK80" s="148"/>
      <c r="AL80" s="148"/>
      <c r="AM80" s="148"/>
      <c r="AN80" s="607">
        <v>3804.17</v>
      </c>
      <c r="AO80" s="607"/>
      <c r="AP80" s="148"/>
      <c r="AQ80" s="168">
        <v>0</v>
      </c>
      <c r="AR80" s="238">
        <v>316349.19</v>
      </c>
      <c r="AU80" s="633">
        <f t="shared" si="7"/>
        <v>0</v>
      </c>
      <c r="AX80" s="358">
        <v>74</v>
      </c>
      <c r="AY80" s="301" t="s">
        <v>291</v>
      </c>
      <c r="AZ80" s="139" t="s">
        <v>292</v>
      </c>
      <c r="BA80" s="633">
        <f t="shared" si="8"/>
        <v>0</v>
      </c>
      <c r="BC80" s="196">
        <v>74</v>
      </c>
      <c r="BD80" s="73" t="s">
        <v>291</v>
      </c>
      <c r="BE80" s="139" t="s">
        <v>292</v>
      </c>
      <c r="BF80" s="168">
        <v>0</v>
      </c>
      <c r="BG80" s="168">
        <v>275008.64999999997</v>
      </c>
    </row>
    <row r="81" spans="1:59">
      <c r="A81" s="73" t="s">
        <v>1582</v>
      </c>
      <c r="B81" s="235" t="s">
        <v>1500</v>
      </c>
      <c r="C81" s="233" t="str">
        <f>CONCATENATE(B81," ",A81)</f>
        <v>06701 ESA 112</v>
      </c>
      <c r="D81" s="607"/>
      <c r="E81" s="607"/>
      <c r="F81" s="607"/>
      <c r="G81" s="607">
        <v>27264748.199999999</v>
      </c>
      <c r="H81" s="607"/>
      <c r="I81" s="607"/>
      <c r="J81" s="607"/>
      <c r="K81" s="607"/>
      <c r="L81" s="607"/>
      <c r="M81" s="607"/>
      <c r="N81" s="608"/>
      <c r="O81" s="608"/>
      <c r="P81" s="607"/>
      <c r="Q81" s="607"/>
      <c r="R81" s="607"/>
      <c r="S81" s="607"/>
      <c r="T81" s="607"/>
      <c r="U81" s="607"/>
      <c r="V81" s="607"/>
      <c r="W81" s="607"/>
      <c r="X81" s="607"/>
      <c r="Y81" s="607"/>
      <c r="Z81" s="607"/>
      <c r="AA81" s="607"/>
      <c r="AB81" s="607"/>
      <c r="AC81" s="607"/>
      <c r="AD81" s="607"/>
      <c r="AE81" s="607"/>
      <c r="AF81" s="148"/>
      <c r="AG81" s="148"/>
      <c r="AH81" s="148"/>
      <c r="AI81" s="607"/>
      <c r="AJ81" s="607"/>
      <c r="AK81" s="148"/>
      <c r="AL81" s="148"/>
      <c r="AM81" s="148"/>
      <c r="AN81" s="607"/>
      <c r="AO81" s="607"/>
      <c r="AP81" s="148"/>
      <c r="AQ81" s="168">
        <v>0</v>
      </c>
      <c r="AR81" s="238">
        <v>0</v>
      </c>
      <c r="AU81" s="633">
        <f t="shared" si="7"/>
        <v>0</v>
      </c>
      <c r="AX81" s="358">
        <v>75</v>
      </c>
      <c r="AY81" s="304" t="s">
        <v>1500</v>
      </c>
      <c r="AZ81" s="73" t="s">
        <v>1582</v>
      </c>
      <c r="BA81" s="633">
        <f t="shared" si="8"/>
        <v>0</v>
      </c>
      <c r="BC81" s="196">
        <v>75</v>
      </c>
      <c r="BD81" s="173" t="s">
        <v>1500</v>
      </c>
      <c r="BE81" s="73" t="s">
        <v>1582</v>
      </c>
      <c r="BF81" s="168">
        <v>0</v>
      </c>
      <c r="BG81" s="168">
        <v>0</v>
      </c>
    </row>
    <row r="82" spans="1:59">
      <c r="A82" s="73" t="s">
        <v>1583</v>
      </c>
      <c r="B82" s="233" t="s">
        <v>766</v>
      </c>
      <c r="C82" s="233" t="str">
        <f>CONCATENATE(B82," ",A82)</f>
        <v>32801 ESD 101</v>
      </c>
      <c r="D82" s="607"/>
      <c r="E82" s="607"/>
      <c r="F82" s="607"/>
      <c r="G82" s="607"/>
      <c r="H82" s="607"/>
      <c r="I82" s="607"/>
      <c r="J82" s="607"/>
      <c r="K82" s="607"/>
      <c r="L82" s="607"/>
      <c r="M82" s="607"/>
      <c r="N82" s="608"/>
      <c r="O82" s="608">
        <v>0.11</v>
      </c>
      <c r="P82" s="607"/>
      <c r="Q82" s="607"/>
      <c r="R82" s="607"/>
      <c r="S82" s="607">
        <v>1086055.8400000001</v>
      </c>
      <c r="T82" s="607">
        <v>66158.89</v>
      </c>
      <c r="U82" s="607">
        <v>34759.229999999996</v>
      </c>
      <c r="V82" s="607"/>
      <c r="W82" s="607"/>
      <c r="X82" s="607"/>
      <c r="Y82" s="607">
        <v>14.75</v>
      </c>
      <c r="Z82" s="607"/>
      <c r="AA82" s="607"/>
      <c r="AB82" s="607"/>
      <c r="AC82" s="607"/>
      <c r="AD82" s="607"/>
      <c r="AE82" s="607"/>
      <c r="AF82" s="148"/>
      <c r="AG82" s="148"/>
      <c r="AH82" s="148"/>
      <c r="AI82" s="607"/>
      <c r="AJ82" s="607"/>
      <c r="AK82" s="148"/>
      <c r="AL82" s="148"/>
      <c r="AM82" s="148"/>
      <c r="AN82" s="607"/>
      <c r="AO82" s="607"/>
      <c r="AP82" s="148"/>
      <c r="AQ82" s="168">
        <v>0</v>
      </c>
      <c r="AR82" s="238">
        <v>0</v>
      </c>
      <c r="AU82" s="633">
        <f t="shared" si="7"/>
        <v>0</v>
      </c>
      <c r="AX82" s="358">
        <v>76</v>
      </c>
      <c r="AY82" s="305" t="s">
        <v>766</v>
      </c>
      <c r="AZ82" s="73" t="s">
        <v>1583</v>
      </c>
      <c r="BA82" s="633">
        <f t="shared" si="8"/>
        <v>0</v>
      </c>
      <c r="BC82" s="196">
        <v>76</v>
      </c>
      <c r="BD82" s="73" t="s">
        <v>766</v>
      </c>
      <c r="BE82" s="73" t="s">
        <v>1583</v>
      </c>
      <c r="BF82" s="168">
        <v>0</v>
      </c>
      <c r="BG82" s="168">
        <v>0</v>
      </c>
    </row>
    <row r="83" spans="1:59">
      <c r="A83" s="73" t="s">
        <v>1584</v>
      </c>
      <c r="B83" s="235" t="s">
        <v>768</v>
      </c>
      <c r="C83" s="233" t="str">
        <f>CONCATENATE(B83," ",A83)</f>
        <v>39801 ESD 105</v>
      </c>
      <c r="D83" s="607"/>
      <c r="E83" s="607"/>
      <c r="F83" s="607"/>
      <c r="G83" s="607"/>
      <c r="H83" s="607"/>
      <c r="I83" s="607"/>
      <c r="J83" s="607"/>
      <c r="K83" s="607"/>
      <c r="L83" s="607"/>
      <c r="M83" s="607">
        <v>2097775.12</v>
      </c>
      <c r="N83" s="608"/>
      <c r="O83" s="608">
        <v>0.11</v>
      </c>
      <c r="P83" s="607"/>
      <c r="Q83" s="607"/>
      <c r="R83" s="607"/>
      <c r="S83" s="607"/>
      <c r="T83" s="607"/>
      <c r="U83" s="607"/>
      <c r="V83" s="607"/>
      <c r="W83" s="607"/>
      <c r="X83" s="607"/>
      <c r="Y83" s="607"/>
      <c r="Z83" s="607"/>
      <c r="AA83" s="607"/>
      <c r="AB83" s="607"/>
      <c r="AC83" s="607"/>
      <c r="AD83" s="607"/>
      <c r="AE83" s="607"/>
      <c r="AF83" s="148"/>
      <c r="AG83" s="148"/>
      <c r="AH83" s="148"/>
      <c r="AI83" s="607"/>
      <c r="AJ83" s="607"/>
      <c r="AK83" s="148"/>
      <c r="AL83" s="148"/>
      <c r="AM83" s="148"/>
      <c r="AN83" s="607"/>
      <c r="AO83" s="607"/>
      <c r="AP83" s="148"/>
      <c r="AQ83" s="168">
        <v>0</v>
      </c>
      <c r="AR83" s="238">
        <v>0</v>
      </c>
      <c r="AU83" s="633">
        <f t="shared" si="7"/>
        <v>0</v>
      </c>
      <c r="AX83" s="358">
        <v>77</v>
      </c>
      <c r="AY83" s="304" t="s">
        <v>768</v>
      </c>
      <c r="AZ83" s="73" t="s">
        <v>1584</v>
      </c>
      <c r="BA83" s="633">
        <f t="shared" si="8"/>
        <v>0</v>
      </c>
      <c r="BC83" s="196">
        <v>77</v>
      </c>
      <c r="BD83" s="173" t="s">
        <v>768</v>
      </c>
      <c r="BE83" s="73" t="s">
        <v>1584</v>
      </c>
      <c r="BF83" s="168">
        <v>0</v>
      </c>
      <c r="BG83" s="168">
        <v>0</v>
      </c>
    </row>
    <row r="84" spans="1:59">
      <c r="A84" s="73" t="s">
        <v>1585</v>
      </c>
      <c r="B84" s="235" t="s">
        <v>761</v>
      </c>
      <c r="C84" s="233" t="str">
        <f>CONCATENATE(B84," ",A84)</f>
        <v>06801 ESD 112</v>
      </c>
      <c r="D84" s="607">
        <v>515760.3</v>
      </c>
      <c r="E84" s="607"/>
      <c r="F84" s="607"/>
      <c r="G84" s="607"/>
      <c r="H84" s="607"/>
      <c r="I84" s="607"/>
      <c r="J84" s="607"/>
      <c r="K84" s="607"/>
      <c r="L84" s="607"/>
      <c r="M84" s="607">
        <v>6343704.6600000001</v>
      </c>
      <c r="N84" s="608"/>
      <c r="O84" s="608">
        <v>0.11</v>
      </c>
      <c r="P84" s="607"/>
      <c r="Q84" s="607"/>
      <c r="R84" s="607"/>
      <c r="S84" s="607">
        <v>708314.1</v>
      </c>
      <c r="T84" s="607"/>
      <c r="U84" s="607">
        <v>22669.599999999999</v>
      </c>
      <c r="V84" s="607"/>
      <c r="W84" s="607"/>
      <c r="X84" s="607"/>
      <c r="Y84" s="607"/>
      <c r="Z84" s="607"/>
      <c r="AA84" s="607"/>
      <c r="AB84" s="607"/>
      <c r="AC84" s="607"/>
      <c r="AD84" s="607"/>
      <c r="AE84" s="607"/>
      <c r="AF84" s="148"/>
      <c r="AG84" s="148"/>
      <c r="AH84" s="148"/>
      <c r="AI84" s="607"/>
      <c r="AJ84" s="607"/>
      <c r="AK84" s="148"/>
      <c r="AL84" s="148"/>
      <c r="AM84" s="148"/>
      <c r="AN84" s="607"/>
      <c r="AO84" s="607"/>
      <c r="AP84" s="148"/>
      <c r="AQ84" s="168">
        <v>0</v>
      </c>
      <c r="AR84" s="238">
        <v>0</v>
      </c>
      <c r="AU84" s="633">
        <f t="shared" si="7"/>
        <v>0</v>
      </c>
      <c r="AX84" s="358">
        <v>78</v>
      </c>
      <c r="AY84" s="304" t="s">
        <v>761</v>
      </c>
      <c r="AZ84" s="73" t="s">
        <v>1585</v>
      </c>
      <c r="BA84" s="633">
        <f t="shared" si="8"/>
        <v>0</v>
      </c>
      <c r="BC84" s="196">
        <v>78</v>
      </c>
      <c r="BD84" s="173" t="s">
        <v>761</v>
      </c>
      <c r="BE84" s="73" t="s">
        <v>1585</v>
      </c>
      <c r="BF84" s="168">
        <v>0</v>
      </c>
      <c r="BG84" s="168">
        <v>0</v>
      </c>
    </row>
    <row r="85" spans="1:59">
      <c r="A85" s="73" t="s">
        <v>1586</v>
      </c>
      <c r="B85" s="233" t="s">
        <v>767</v>
      </c>
      <c r="C85" s="233" t="str">
        <f>CONCATENATE(B85," CAPITAL REGION ",A85)</f>
        <v>34801 CAPITAL REGION ESD 113</v>
      </c>
      <c r="D85" s="607"/>
      <c r="E85" s="607"/>
      <c r="F85" s="607"/>
      <c r="G85" s="607"/>
      <c r="H85" s="607"/>
      <c r="I85" s="607"/>
      <c r="J85" s="607"/>
      <c r="K85" s="607"/>
      <c r="L85" s="607"/>
      <c r="M85" s="607">
        <v>713200.39</v>
      </c>
      <c r="N85" s="608"/>
      <c r="O85" s="608">
        <v>0.11</v>
      </c>
      <c r="P85" s="607"/>
      <c r="Q85" s="607"/>
      <c r="R85" s="607"/>
      <c r="S85" s="607"/>
      <c r="T85" s="607"/>
      <c r="U85" s="607"/>
      <c r="V85" s="607"/>
      <c r="W85" s="607"/>
      <c r="X85" s="607"/>
      <c r="Y85" s="607">
        <v>267.94</v>
      </c>
      <c r="Z85" s="607"/>
      <c r="AA85" s="607"/>
      <c r="AB85" s="607"/>
      <c r="AC85" s="607"/>
      <c r="AD85" s="607"/>
      <c r="AE85" s="607"/>
      <c r="AF85" s="148"/>
      <c r="AG85" s="148"/>
      <c r="AH85" s="148"/>
      <c r="AI85" s="607"/>
      <c r="AJ85" s="607"/>
      <c r="AK85" s="148"/>
      <c r="AL85" s="148"/>
      <c r="AM85" s="148"/>
      <c r="AN85" s="607"/>
      <c r="AO85" s="607"/>
      <c r="AP85" s="148"/>
      <c r="AQ85" s="168">
        <v>0</v>
      </c>
      <c r="AR85" s="238">
        <v>0</v>
      </c>
      <c r="AU85" s="633">
        <f t="shared" si="7"/>
        <v>0</v>
      </c>
      <c r="AX85" s="358">
        <v>79</v>
      </c>
      <c r="AY85" s="305" t="s">
        <v>767</v>
      </c>
      <c r="AZ85" s="73" t="s">
        <v>1586</v>
      </c>
      <c r="BA85" s="633">
        <f t="shared" si="8"/>
        <v>0</v>
      </c>
      <c r="BC85" s="196">
        <v>79</v>
      </c>
      <c r="BD85" s="73" t="s">
        <v>767</v>
      </c>
      <c r="BE85" s="73" t="s">
        <v>1586</v>
      </c>
      <c r="BF85" s="168">
        <v>0</v>
      </c>
      <c r="BG85" s="168">
        <v>0</v>
      </c>
    </row>
    <row r="86" spans="1:59">
      <c r="A86" s="73" t="s">
        <v>1601</v>
      </c>
      <c r="B86" s="235" t="s">
        <v>764</v>
      </c>
      <c r="C86" s="233" t="str">
        <f>CONCATENATE(B86," OLYMPIC ",A86)</f>
        <v>18801 OLYMPIC ESD 114</v>
      </c>
      <c r="D86" s="607"/>
      <c r="E86" s="607"/>
      <c r="F86" s="607"/>
      <c r="G86" s="607"/>
      <c r="H86" s="607"/>
      <c r="I86" s="607"/>
      <c r="J86" s="607"/>
      <c r="K86" s="607"/>
      <c r="L86" s="607"/>
      <c r="M86" s="607"/>
      <c r="N86" s="608"/>
      <c r="O86" s="608">
        <v>0.11</v>
      </c>
      <c r="P86" s="607"/>
      <c r="Q86" s="607"/>
      <c r="R86" s="607"/>
      <c r="S86" s="607">
        <v>347780.44999999995</v>
      </c>
      <c r="T86" s="607">
        <v>33578.33</v>
      </c>
      <c r="U86" s="607">
        <v>12168.98</v>
      </c>
      <c r="V86" s="607"/>
      <c r="W86" s="607"/>
      <c r="X86" s="607"/>
      <c r="Y86" s="607"/>
      <c r="Z86" s="607"/>
      <c r="AA86" s="607"/>
      <c r="AB86" s="607"/>
      <c r="AC86" s="607"/>
      <c r="AD86" s="607"/>
      <c r="AE86" s="607"/>
      <c r="AF86" s="148"/>
      <c r="AG86" s="148"/>
      <c r="AH86" s="148"/>
      <c r="AI86" s="607"/>
      <c r="AJ86" s="607"/>
      <c r="AK86" s="148"/>
      <c r="AL86" s="148"/>
      <c r="AM86" s="148"/>
      <c r="AN86" s="607"/>
      <c r="AO86" s="607"/>
      <c r="AP86" s="148"/>
      <c r="AQ86" s="168">
        <v>0</v>
      </c>
      <c r="AR86" s="238">
        <v>0</v>
      </c>
      <c r="AU86" s="633">
        <f t="shared" si="7"/>
        <v>0</v>
      </c>
      <c r="AX86" s="358">
        <v>80</v>
      </c>
      <c r="AY86" s="304" t="s">
        <v>764</v>
      </c>
      <c r="AZ86" s="73" t="s">
        <v>1601</v>
      </c>
      <c r="BA86" s="633">
        <f t="shared" si="8"/>
        <v>0</v>
      </c>
      <c r="BC86" s="196">
        <v>80</v>
      </c>
      <c r="BD86" s="173" t="s">
        <v>764</v>
      </c>
      <c r="BE86" s="73" t="s">
        <v>1601</v>
      </c>
      <c r="BF86" s="168">
        <v>0</v>
      </c>
      <c r="BG86" s="168">
        <v>0</v>
      </c>
    </row>
    <row r="87" spans="1:59">
      <c r="A87" s="73" t="s">
        <v>1602</v>
      </c>
      <c r="B87" s="235" t="s">
        <v>763</v>
      </c>
      <c r="C87" s="233" t="str">
        <f>CONCATENATE(B87," PUGET SOUND ",A87)</f>
        <v>17801 PUGET SOUND ESD 121</v>
      </c>
      <c r="D87" s="607"/>
      <c r="E87" s="607"/>
      <c r="F87" s="607"/>
      <c r="G87" s="607"/>
      <c r="H87" s="607"/>
      <c r="I87" s="607"/>
      <c r="J87" s="607"/>
      <c r="K87" s="607"/>
      <c r="L87" s="607"/>
      <c r="M87" s="607">
        <v>1978140.65</v>
      </c>
      <c r="N87" s="608"/>
      <c r="O87" s="608">
        <v>0.11</v>
      </c>
      <c r="P87" s="607"/>
      <c r="Q87" s="607"/>
      <c r="R87" s="607"/>
      <c r="S87" s="607"/>
      <c r="T87" s="607"/>
      <c r="U87" s="607"/>
      <c r="V87" s="607"/>
      <c r="W87" s="607"/>
      <c r="X87" s="607"/>
      <c r="Y87" s="607"/>
      <c r="Z87" s="607"/>
      <c r="AA87" s="607"/>
      <c r="AB87" s="607"/>
      <c r="AC87" s="607"/>
      <c r="AD87" s="607"/>
      <c r="AE87" s="607"/>
      <c r="AF87" s="148"/>
      <c r="AG87" s="148"/>
      <c r="AH87" s="148"/>
      <c r="AI87" s="607"/>
      <c r="AJ87" s="607"/>
      <c r="AK87" s="148"/>
      <c r="AL87" s="148"/>
      <c r="AM87" s="148"/>
      <c r="AN87" s="607"/>
      <c r="AO87" s="607"/>
      <c r="AP87" s="148"/>
      <c r="AQ87" s="168">
        <v>0</v>
      </c>
      <c r="AR87" s="238">
        <v>0</v>
      </c>
      <c r="AU87" s="633">
        <f t="shared" si="7"/>
        <v>0</v>
      </c>
      <c r="AX87" s="358">
        <v>81</v>
      </c>
      <c r="AY87" s="304" t="s">
        <v>763</v>
      </c>
      <c r="AZ87" s="73" t="s">
        <v>1602</v>
      </c>
      <c r="BA87" s="633">
        <f t="shared" si="8"/>
        <v>0</v>
      </c>
      <c r="BC87" s="196">
        <v>81</v>
      </c>
      <c r="BD87" s="173" t="s">
        <v>763</v>
      </c>
      <c r="BE87" s="73" t="s">
        <v>1602</v>
      </c>
      <c r="BF87" s="168">
        <v>0</v>
      </c>
      <c r="BG87" s="168">
        <v>0</v>
      </c>
    </row>
    <row r="88" spans="1:59">
      <c r="A88" s="73" t="s">
        <v>1587</v>
      </c>
      <c r="B88" s="235" t="s">
        <v>762</v>
      </c>
      <c r="C88" s="233" t="str">
        <f>CONCATENATE(B88," ",A88)</f>
        <v>11801 ESD 123</v>
      </c>
      <c r="D88" s="607"/>
      <c r="E88" s="607"/>
      <c r="F88" s="607"/>
      <c r="G88" s="607"/>
      <c r="H88" s="607"/>
      <c r="I88" s="607"/>
      <c r="J88" s="607"/>
      <c r="K88" s="607"/>
      <c r="L88" s="607"/>
      <c r="M88" s="607"/>
      <c r="N88" s="608"/>
      <c r="O88" s="608">
        <v>0.11</v>
      </c>
      <c r="P88" s="607"/>
      <c r="Q88" s="607"/>
      <c r="R88" s="607"/>
      <c r="S88" s="607"/>
      <c r="T88" s="607"/>
      <c r="U88" s="607"/>
      <c r="V88" s="607"/>
      <c r="W88" s="607"/>
      <c r="X88" s="607"/>
      <c r="Y88" s="607">
        <v>300.72000000000003</v>
      </c>
      <c r="Z88" s="607"/>
      <c r="AA88" s="607"/>
      <c r="AB88" s="607"/>
      <c r="AC88" s="607"/>
      <c r="AD88" s="607"/>
      <c r="AE88" s="607"/>
      <c r="AF88" s="148"/>
      <c r="AG88" s="148"/>
      <c r="AH88" s="148"/>
      <c r="AI88" s="607"/>
      <c r="AJ88" s="607"/>
      <c r="AK88" s="148"/>
      <c r="AL88" s="148"/>
      <c r="AM88" s="148"/>
      <c r="AN88" s="607"/>
      <c r="AO88" s="607"/>
      <c r="AP88" s="148"/>
      <c r="AQ88" s="168">
        <v>0</v>
      </c>
      <c r="AR88" s="238">
        <v>0</v>
      </c>
      <c r="AU88" s="633">
        <f t="shared" si="7"/>
        <v>0</v>
      </c>
      <c r="AX88" s="358">
        <v>82</v>
      </c>
      <c r="AY88" s="304" t="s">
        <v>762</v>
      </c>
      <c r="AZ88" s="73" t="s">
        <v>1587</v>
      </c>
      <c r="BA88" s="633">
        <f t="shared" si="8"/>
        <v>0</v>
      </c>
      <c r="BC88" s="196">
        <v>82</v>
      </c>
      <c r="BD88" s="173" t="s">
        <v>762</v>
      </c>
      <c r="BE88" s="73" t="s">
        <v>1587</v>
      </c>
      <c r="BF88" s="168">
        <v>0</v>
      </c>
      <c r="BG88" s="168">
        <v>0</v>
      </c>
    </row>
    <row r="89" spans="1:59">
      <c r="A89" s="73" t="s">
        <v>1599</v>
      </c>
      <c r="B89" s="235" t="s">
        <v>760</v>
      </c>
      <c r="C89" s="233" t="str">
        <f>CONCATENATE(B89," ",A89)</f>
        <v>04801 ESD 171</v>
      </c>
      <c r="D89" s="607"/>
      <c r="E89" s="607"/>
      <c r="F89" s="607"/>
      <c r="G89" s="607"/>
      <c r="H89" s="607"/>
      <c r="I89" s="607"/>
      <c r="J89" s="607"/>
      <c r="K89" s="607"/>
      <c r="L89" s="607"/>
      <c r="M89" s="607"/>
      <c r="N89" s="608"/>
      <c r="O89" s="608">
        <v>0.11</v>
      </c>
      <c r="P89" s="607"/>
      <c r="Q89" s="607"/>
      <c r="R89" s="607"/>
      <c r="S89" s="607"/>
      <c r="T89" s="607"/>
      <c r="U89" s="607"/>
      <c r="V89" s="607"/>
      <c r="W89" s="607"/>
      <c r="X89" s="607"/>
      <c r="Y89" s="607"/>
      <c r="Z89" s="607"/>
      <c r="AA89" s="607"/>
      <c r="AB89" s="607"/>
      <c r="AC89" s="607"/>
      <c r="AD89" s="607"/>
      <c r="AE89" s="607"/>
      <c r="AF89" s="148"/>
      <c r="AG89" s="148"/>
      <c r="AH89" s="148"/>
      <c r="AI89" s="607"/>
      <c r="AJ89" s="607"/>
      <c r="AK89" s="148"/>
      <c r="AL89" s="148"/>
      <c r="AM89" s="148"/>
      <c r="AN89" s="607"/>
      <c r="AO89" s="607"/>
      <c r="AP89" s="148"/>
      <c r="AQ89" s="168">
        <v>0</v>
      </c>
      <c r="AR89" s="238">
        <v>0</v>
      </c>
      <c r="AU89" s="633">
        <f t="shared" si="7"/>
        <v>0</v>
      </c>
      <c r="AX89" s="358">
        <v>83</v>
      </c>
      <c r="AY89" s="304" t="s">
        <v>760</v>
      </c>
      <c r="AZ89" s="73" t="s">
        <v>1599</v>
      </c>
      <c r="BA89" s="633">
        <f t="shared" si="8"/>
        <v>0</v>
      </c>
      <c r="BC89" s="196">
        <v>83</v>
      </c>
      <c r="BD89" s="173" t="s">
        <v>760</v>
      </c>
      <c r="BE89" s="73" t="s">
        <v>1599</v>
      </c>
      <c r="BF89" s="168">
        <v>0</v>
      </c>
      <c r="BG89" s="168">
        <v>0</v>
      </c>
    </row>
    <row r="90" spans="1:59">
      <c r="A90" s="73" t="s">
        <v>1600</v>
      </c>
      <c r="B90" s="233" t="s">
        <v>765</v>
      </c>
      <c r="C90" s="233" t="str">
        <f>CONCATENATE(B90," NORTHWEST ",A90)</f>
        <v>29801 NORTHWEST ESD 189</v>
      </c>
      <c r="D90" s="607"/>
      <c r="E90" s="607"/>
      <c r="F90" s="607"/>
      <c r="G90" s="607"/>
      <c r="H90" s="607"/>
      <c r="I90" s="607"/>
      <c r="J90" s="607"/>
      <c r="K90" s="607"/>
      <c r="L90" s="607"/>
      <c r="M90" s="607"/>
      <c r="N90" s="608"/>
      <c r="O90" s="608">
        <v>0.11</v>
      </c>
      <c r="P90" s="607"/>
      <c r="Q90" s="607"/>
      <c r="R90" s="607"/>
      <c r="S90" s="607">
        <v>668084.92000000004</v>
      </c>
      <c r="T90" s="607">
        <v>0.33999999999999997</v>
      </c>
      <c r="U90" s="607">
        <v>22829.030000000002</v>
      </c>
      <c r="V90" s="607"/>
      <c r="W90" s="607"/>
      <c r="X90" s="607"/>
      <c r="Y90" s="607"/>
      <c r="Z90" s="607"/>
      <c r="AA90" s="607"/>
      <c r="AB90" s="607"/>
      <c r="AC90" s="607"/>
      <c r="AD90" s="607"/>
      <c r="AE90" s="607"/>
      <c r="AF90" s="148"/>
      <c r="AG90" s="148"/>
      <c r="AH90" s="148"/>
      <c r="AI90" s="607"/>
      <c r="AJ90" s="607"/>
      <c r="AK90" s="148"/>
      <c r="AL90" s="148"/>
      <c r="AM90" s="148"/>
      <c r="AN90" s="607"/>
      <c r="AO90" s="607"/>
      <c r="AP90" s="148"/>
      <c r="AQ90" s="168">
        <v>0</v>
      </c>
      <c r="AR90" s="238">
        <v>0</v>
      </c>
      <c r="AU90" s="633">
        <f t="shared" si="7"/>
        <v>0</v>
      </c>
      <c r="AX90" s="358">
        <v>84</v>
      </c>
      <c r="AY90" s="305" t="s">
        <v>765</v>
      </c>
      <c r="AZ90" s="73" t="s">
        <v>1600</v>
      </c>
      <c r="BA90" s="633">
        <f t="shared" si="8"/>
        <v>0</v>
      </c>
      <c r="BC90" s="196">
        <v>84</v>
      </c>
      <c r="BD90" s="73" t="s">
        <v>765</v>
      </c>
      <c r="BE90" s="73" t="s">
        <v>1600</v>
      </c>
      <c r="BF90" s="168">
        <v>0</v>
      </c>
      <c r="BG90" s="168">
        <v>0</v>
      </c>
    </row>
    <row r="91" spans="1:59">
      <c r="A91" s="139" t="s">
        <v>419</v>
      </c>
      <c r="B91" s="233" t="s">
        <v>418</v>
      </c>
      <c r="C91" s="233" t="str">
        <f t="shared" ref="C91:C117" si="9">CONCATENATE(B91," ",A91," SCHOOL DISTRICT")</f>
        <v>21036 EVALINE SCHOOL DISTRICT</v>
      </c>
      <c r="D91" s="607"/>
      <c r="E91" s="607"/>
      <c r="F91" s="607"/>
      <c r="G91" s="607">
        <v>78881.570000000007</v>
      </c>
      <c r="H91" s="607">
        <v>11908.24</v>
      </c>
      <c r="I91" s="607">
        <v>17464.259999999998</v>
      </c>
      <c r="J91" s="607">
        <v>19343.32</v>
      </c>
      <c r="K91" s="607">
        <v>2725.2</v>
      </c>
      <c r="L91" s="607">
        <v>1989.6</v>
      </c>
      <c r="M91" s="607">
        <v>38547.93</v>
      </c>
      <c r="N91" s="608">
        <v>0.1883</v>
      </c>
      <c r="O91" s="608">
        <v>0.4385</v>
      </c>
      <c r="P91" s="607"/>
      <c r="Q91" s="607"/>
      <c r="R91" s="607"/>
      <c r="S91" s="607"/>
      <c r="T91" s="607"/>
      <c r="U91" s="607"/>
      <c r="V91" s="607"/>
      <c r="W91" s="607"/>
      <c r="X91" s="607"/>
      <c r="Y91" s="607">
        <v>54.08</v>
      </c>
      <c r="Z91" s="607"/>
      <c r="AA91" s="607"/>
      <c r="AB91" s="607"/>
      <c r="AC91" s="607"/>
      <c r="AD91" s="607"/>
      <c r="AE91" s="607"/>
      <c r="AF91" s="148"/>
      <c r="AG91" s="148"/>
      <c r="AH91" s="148"/>
      <c r="AI91" s="607"/>
      <c r="AJ91" s="607"/>
      <c r="AK91" s="148"/>
      <c r="AL91" s="148"/>
      <c r="AM91" s="148"/>
      <c r="AN91" s="607"/>
      <c r="AO91" s="607"/>
      <c r="AP91" s="148"/>
      <c r="AQ91" s="168">
        <v>0</v>
      </c>
      <c r="AR91" s="238">
        <v>8572.36</v>
      </c>
      <c r="AU91" s="633">
        <f t="shared" si="7"/>
        <v>0</v>
      </c>
      <c r="AX91" s="358">
        <v>85</v>
      </c>
      <c r="AY91" s="301" t="s">
        <v>418</v>
      </c>
      <c r="AZ91" s="139" t="s">
        <v>419</v>
      </c>
      <c r="BA91" s="633">
        <f t="shared" si="8"/>
        <v>0</v>
      </c>
      <c r="BC91" s="196">
        <v>85</v>
      </c>
      <c r="BD91" s="73" t="s">
        <v>418</v>
      </c>
      <c r="BE91" s="139" t="s">
        <v>419</v>
      </c>
      <c r="BF91" s="168">
        <v>0</v>
      </c>
      <c r="BG91" s="168">
        <v>7966.27</v>
      </c>
    </row>
    <row r="92" spans="1:59">
      <c r="A92" s="139" t="s">
        <v>565</v>
      </c>
      <c r="B92" s="233" t="s">
        <v>564</v>
      </c>
      <c r="C92" s="233" t="str">
        <f t="shared" si="9"/>
        <v>31002 EVERETT SCHOOL DISTRICT</v>
      </c>
      <c r="D92" s="607"/>
      <c r="E92" s="607">
        <v>666442.91</v>
      </c>
      <c r="F92" s="607">
        <v>154640.48000000001</v>
      </c>
      <c r="G92" s="607">
        <v>52503938.280000001</v>
      </c>
      <c r="H92" s="607">
        <v>7197646.7699999996</v>
      </c>
      <c r="I92" s="607">
        <v>3796262.91</v>
      </c>
      <c r="J92" s="607">
        <v>7509363.3600000003</v>
      </c>
      <c r="K92" s="607">
        <v>8106004.5899999999</v>
      </c>
      <c r="L92" s="607">
        <v>732900.81</v>
      </c>
      <c r="M92" s="607">
        <v>18232660.34</v>
      </c>
      <c r="N92" s="608">
        <v>3.0700000000000002E-2</v>
      </c>
      <c r="O92" s="608">
        <v>0.13339999999999999</v>
      </c>
      <c r="P92" s="607"/>
      <c r="Q92" s="607"/>
      <c r="R92" s="607"/>
      <c r="S92" s="607"/>
      <c r="T92" s="607"/>
      <c r="U92" s="607"/>
      <c r="V92" s="607"/>
      <c r="W92" s="607"/>
      <c r="X92" s="607"/>
      <c r="Y92" s="607">
        <v>17009.7</v>
      </c>
      <c r="Z92" s="607">
        <v>608285.88</v>
      </c>
      <c r="AA92" s="607"/>
      <c r="AB92" s="607">
        <v>819354.18</v>
      </c>
      <c r="AC92" s="607">
        <v>14468726.310000001</v>
      </c>
      <c r="AD92" s="607">
        <v>1259.57</v>
      </c>
      <c r="AE92" s="607">
        <v>13317817.189999999</v>
      </c>
      <c r="AF92" s="148"/>
      <c r="AG92" s="148"/>
      <c r="AH92" s="148"/>
      <c r="AI92" s="607">
        <v>73.209999999999994</v>
      </c>
      <c r="AJ92" s="607">
        <v>760968.49</v>
      </c>
      <c r="AK92" s="148"/>
      <c r="AL92" s="148"/>
      <c r="AM92" s="148"/>
      <c r="AN92" s="607"/>
      <c r="AO92" s="607"/>
      <c r="AP92" s="148"/>
      <c r="AQ92" s="168">
        <v>635184.01999999862</v>
      </c>
      <c r="AR92" s="238">
        <v>2577230.79</v>
      </c>
      <c r="AU92" s="633">
        <f t="shared" si="7"/>
        <v>0</v>
      </c>
      <c r="AX92" s="358">
        <v>86</v>
      </c>
      <c r="AY92" s="301" t="s">
        <v>564</v>
      </c>
      <c r="AZ92" s="139" t="s">
        <v>565</v>
      </c>
      <c r="BA92" s="633">
        <f t="shared" si="8"/>
        <v>0</v>
      </c>
      <c r="BC92" s="196">
        <v>86</v>
      </c>
      <c r="BD92" s="73" t="s">
        <v>564</v>
      </c>
      <c r="BE92" s="139" t="s">
        <v>565</v>
      </c>
      <c r="BF92" s="168">
        <v>635184.01999999862</v>
      </c>
      <c r="BG92" s="168">
        <v>2303188.0299999998</v>
      </c>
    </row>
    <row r="93" spans="1:59">
      <c r="A93" s="139" t="s">
        <v>801</v>
      </c>
      <c r="B93" s="233" t="s">
        <v>222</v>
      </c>
      <c r="C93" s="233" t="str">
        <f t="shared" si="9"/>
        <v>06114 EVERGREEN (CLARK) SCHOOL DISTRICT</v>
      </c>
      <c r="D93" s="607"/>
      <c r="E93" s="607">
        <v>522906.84</v>
      </c>
      <c r="F93" s="607">
        <v>212158.6</v>
      </c>
      <c r="G93" s="607">
        <v>50675006.57</v>
      </c>
      <c r="H93" s="607">
        <v>8328263.29</v>
      </c>
      <c r="I93" s="607">
        <v>4736424.2</v>
      </c>
      <c r="J93" s="607">
        <v>9153735.7100000009</v>
      </c>
      <c r="K93" s="607">
        <v>7251911.5</v>
      </c>
      <c r="L93" s="607">
        <v>740557.4</v>
      </c>
      <c r="M93" s="607">
        <v>19863665.02</v>
      </c>
      <c r="N93" s="608">
        <v>2.8899999999999999E-2</v>
      </c>
      <c r="O93" s="608">
        <v>0.11559999999999999</v>
      </c>
      <c r="P93" s="607"/>
      <c r="Q93" s="607"/>
      <c r="R93" s="607"/>
      <c r="S93" s="607"/>
      <c r="T93" s="607"/>
      <c r="U93" s="607"/>
      <c r="V93" s="607"/>
      <c r="W93" s="607"/>
      <c r="X93" s="607"/>
      <c r="Y93" s="607">
        <v>16763.88</v>
      </c>
      <c r="Z93" s="607">
        <v>70739.77</v>
      </c>
      <c r="AA93" s="607">
        <v>1088928.6100000001</v>
      </c>
      <c r="AB93" s="607">
        <v>2231499.44</v>
      </c>
      <c r="AC93" s="607">
        <v>20819653.890000001</v>
      </c>
      <c r="AD93" s="607">
        <v>1962.56</v>
      </c>
      <c r="AE93" s="607">
        <v>19605031.530000001</v>
      </c>
      <c r="AF93" s="148"/>
      <c r="AG93" s="148"/>
      <c r="AH93" s="148"/>
      <c r="AI93" s="607">
        <v>210.64</v>
      </c>
      <c r="AJ93" s="607">
        <v>2066561.36</v>
      </c>
      <c r="AK93" s="148"/>
      <c r="AL93" s="148"/>
      <c r="AM93" s="148"/>
      <c r="AN93" s="607"/>
      <c r="AO93" s="607"/>
      <c r="AP93" s="148"/>
      <c r="AQ93" s="168">
        <v>0</v>
      </c>
      <c r="AR93" s="238">
        <v>2704359.45</v>
      </c>
      <c r="AU93" s="633">
        <f t="shared" si="7"/>
        <v>0</v>
      </c>
      <c r="AX93" s="358">
        <v>87</v>
      </c>
      <c r="AY93" s="301" t="s">
        <v>222</v>
      </c>
      <c r="AZ93" s="139" t="s">
        <v>801</v>
      </c>
      <c r="BA93" s="633">
        <f t="shared" si="8"/>
        <v>0</v>
      </c>
      <c r="BC93" s="196">
        <v>87</v>
      </c>
      <c r="BD93" s="73" t="s">
        <v>222</v>
      </c>
      <c r="BE93" s="139" t="s">
        <v>801</v>
      </c>
      <c r="BF93" s="168">
        <v>0</v>
      </c>
      <c r="BG93" s="168">
        <v>2340016.1500000004</v>
      </c>
    </row>
    <row r="94" spans="1:59">
      <c r="A94" s="139" t="s">
        <v>804</v>
      </c>
      <c r="B94" s="233" t="s">
        <v>632</v>
      </c>
      <c r="C94" s="233" t="str">
        <f t="shared" si="9"/>
        <v>33205 EVERGREEN (STEVENS) SCHOOL DISTRICT</v>
      </c>
      <c r="D94" s="607"/>
      <c r="E94" s="607"/>
      <c r="F94" s="607"/>
      <c r="G94" s="607">
        <v>34248.32</v>
      </c>
      <c r="H94" s="607">
        <v>5793.51</v>
      </c>
      <c r="I94" s="607">
        <v>12490.28</v>
      </c>
      <c r="J94" s="607">
        <v>27191.19</v>
      </c>
      <c r="K94" s="607"/>
      <c r="L94" s="607">
        <v>994.8</v>
      </c>
      <c r="M94" s="607"/>
      <c r="N94" s="608">
        <v>0.1757</v>
      </c>
      <c r="O94" s="608">
        <v>0.28370000000000001</v>
      </c>
      <c r="P94" s="607"/>
      <c r="Q94" s="607"/>
      <c r="R94" s="607"/>
      <c r="S94" s="607"/>
      <c r="T94" s="607"/>
      <c r="U94" s="607"/>
      <c r="V94" s="607"/>
      <c r="W94" s="607"/>
      <c r="X94" s="607"/>
      <c r="Y94" s="607">
        <v>23.76</v>
      </c>
      <c r="Z94" s="607"/>
      <c r="AA94" s="607"/>
      <c r="AB94" s="607"/>
      <c r="AC94" s="607"/>
      <c r="AD94" s="607"/>
      <c r="AE94" s="607"/>
      <c r="AF94" s="148"/>
      <c r="AG94" s="148"/>
      <c r="AH94" s="148"/>
      <c r="AI94" s="607"/>
      <c r="AJ94" s="607"/>
      <c r="AK94" s="148"/>
      <c r="AL94" s="148"/>
      <c r="AM94" s="148"/>
      <c r="AN94" s="607"/>
      <c r="AO94" s="607"/>
      <c r="AP94" s="148"/>
      <c r="AQ94" s="168">
        <v>544.5</v>
      </c>
      <c r="AR94" s="238">
        <v>5132.17</v>
      </c>
      <c r="AU94" s="633">
        <f t="shared" si="7"/>
        <v>0</v>
      </c>
      <c r="AX94" s="358">
        <v>88</v>
      </c>
      <c r="AY94" s="301" t="s">
        <v>632</v>
      </c>
      <c r="AZ94" s="139" t="s">
        <v>804</v>
      </c>
      <c r="BA94" s="633">
        <f t="shared" si="8"/>
        <v>0</v>
      </c>
      <c r="BC94" s="196">
        <v>88</v>
      </c>
      <c r="BD94" s="73" t="s">
        <v>632</v>
      </c>
      <c r="BE94" s="139" t="s">
        <v>804</v>
      </c>
      <c r="BF94" s="168">
        <v>544.5</v>
      </c>
      <c r="BG94" s="168">
        <v>4924.1200000000008</v>
      </c>
    </row>
    <row r="95" spans="1:59">
      <c r="A95" s="139" t="s">
        <v>341</v>
      </c>
      <c r="B95" s="233" t="s">
        <v>340</v>
      </c>
      <c r="C95" s="233" t="str">
        <f t="shared" si="9"/>
        <v>17210 FEDERAL WAY SCHOOL DISTRICT</v>
      </c>
      <c r="D95" s="607"/>
      <c r="E95" s="607"/>
      <c r="F95" s="607"/>
      <c r="G95" s="607">
        <v>49204579</v>
      </c>
      <c r="H95" s="607">
        <v>7286650.5300000003</v>
      </c>
      <c r="I95" s="607">
        <v>7492059.8700000001</v>
      </c>
      <c r="J95" s="607">
        <v>11998971.68</v>
      </c>
      <c r="K95" s="607">
        <v>13337274.34</v>
      </c>
      <c r="L95" s="607">
        <v>732240.62</v>
      </c>
      <c r="M95" s="607">
        <v>18994248.949999999</v>
      </c>
      <c r="N95" s="608">
        <v>3.2500000000000001E-2</v>
      </c>
      <c r="O95" s="608">
        <v>0.14860000000000001</v>
      </c>
      <c r="P95" s="607"/>
      <c r="Q95" s="607"/>
      <c r="R95" s="607"/>
      <c r="S95" s="607"/>
      <c r="T95" s="607"/>
      <c r="U95" s="607"/>
      <c r="V95" s="607"/>
      <c r="W95" s="607"/>
      <c r="X95" s="607"/>
      <c r="Y95" s="607">
        <v>16790.919999999998</v>
      </c>
      <c r="Z95" s="607"/>
      <c r="AA95" s="607"/>
      <c r="AB95" s="607">
        <v>1271283.8400000001</v>
      </c>
      <c r="AC95" s="607">
        <v>13148759.91</v>
      </c>
      <c r="AD95" s="607">
        <v>1146.69</v>
      </c>
      <c r="AE95" s="607">
        <v>11683028.73</v>
      </c>
      <c r="AF95" s="148"/>
      <c r="AG95" s="148"/>
      <c r="AH95" s="148"/>
      <c r="AI95" s="607">
        <v>118.14</v>
      </c>
      <c r="AJ95" s="607">
        <v>1182684.43</v>
      </c>
      <c r="AK95" s="148"/>
      <c r="AL95" s="148"/>
      <c r="AM95" s="148"/>
      <c r="AN95" s="607"/>
      <c r="AO95" s="607"/>
      <c r="AP95" s="148"/>
      <c r="AQ95" s="168">
        <v>0</v>
      </c>
      <c r="AR95" s="238">
        <v>2789504.9299999997</v>
      </c>
      <c r="AU95" s="633">
        <f t="shared" si="7"/>
        <v>0</v>
      </c>
      <c r="AX95" s="358">
        <v>89</v>
      </c>
      <c r="AY95" s="301" t="s">
        <v>340</v>
      </c>
      <c r="AZ95" s="139" t="s">
        <v>341</v>
      </c>
      <c r="BA95" s="633">
        <f t="shared" si="8"/>
        <v>0</v>
      </c>
      <c r="BC95" s="196">
        <v>89</v>
      </c>
      <c r="BD95" s="73" t="s">
        <v>340</v>
      </c>
      <c r="BE95" s="139" t="s">
        <v>341</v>
      </c>
      <c r="BF95" s="168">
        <v>0</v>
      </c>
      <c r="BG95" s="168">
        <v>2461716.5299999998</v>
      </c>
    </row>
    <row r="96" spans="1:59">
      <c r="A96" s="139" t="s">
        <v>674</v>
      </c>
      <c r="B96" s="233" t="s">
        <v>673</v>
      </c>
      <c r="C96" s="233" t="str">
        <f t="shared" si="9"/>
        <v>37502 FERNDALE SCHOOL DISTRICT</v>
      </c>
      <c r="D96" s="607"/>
      <c r="E96" s="607"/>
      <c r="F96" s="607"/>
      <c r="G96" s="607">
        <v>11352364.380000001</v>
      </c>
      <c r="H96" s="607">
        <v>1624374.86</v>
      </c>
      <c r="I96" s="607">
        <v>1004596.22</v>
      </c>
      <c r="J96" s="607">
        <v>1809202.84</v>
      </c>
      <c r="K96" s="607">
        <v>911772.13</v>
      </c>
      <c r="L96" s="607">
        <v>151415.72</v>
      </c>
      <c r="M96" s="607">
        <v>4151478.68</v>
      </c>
      <c r="N96" s="608">
        <v>5.8000000000000003E-2</v>
      </c>
      <c r="O96" s="608">
        <v>0.15920000000000001</v>
      </c>
      <c r="P96" s="607"/>
      <c r="Q96" s="607"/>
      <c r="R96" s="607"/>
      <c r="S96" s="607"/>
      <c r="T96" s="607"/>
      <c r="U96" s="607"/>
      <c r="V96" s="607"/>
      <c r="W96" s="607"/>
      <c r="X96" s="607"/>
      <c r="Y96" s="607">
        <v>3733.96</v>
      </c>
      <c r="Z96" s="607"/>
      <c r="AA96" s="607">
        <v>221707.15</v>
      </c>
      <c r="AB96" s="607">
        <v>890498.02</v>
      </c>
      <c r="AC96" s="607">
        <v>4375325.3099999996</v>
      </c>
      <c r="AD96" s="607">
        <v>408.72</v>
      </c>
      <c r="AE96" s="607">
        <v>4007093.54</v>
      </c>
      <c r="AF96" s="148"/>
      <c r="AG96" s="148"/>
      <c r="AH96" s="148"/>
      <c r="AI96" s="607">
        <v>87.62</v>
      </c>
      <c r="AJ96" s="607">
        <v>843204.38</v>
      </c>
      <c r="AK96" s="148"/>
      <c r="AL96" s="148"/>
      <c r="AM96" s="148"/>
      <c r="AN96" s="607"/>
      <c r="AO96" s="607"/>
      <c r="AP96" s="148"/>
      <c r="AQ96" s="168">
        <v>0</v>
      </c>
      <c r="AR96" s="238">
        <v>532060.93999999994</v>
      </c>
      <c r="AU96" s="633">
        <f t="shared" si="7"/>
        <v>0</v>
      </c>
      <c r="AX96" s="358">
        <v>90</v>
      </c>
      <c r="AY96" s="301" t="s">
        <v>673</v>
      </c>
      <c r="AZ96" s="139" t="s">
        <v>674</v>
      </c>
      <c r="BA96" s="633">
        <f t="shared" si="8"/>
        <v>0</v>
      </c>
      <c r="BC96" s="196">
        <v>90</v>
      </c>
      <c r="BD96" s="73" t="s">
        <v>673</v>
      </c>
      <c r="BE96" s="139" t="s">
        <v>674</v>
      </c>
      <c r="BF96" s="168">
        <v>0</v>
      </c>
      <c r="BG96" s="168">
        <v>465219.8899999999</v>
      </c>
    </row>
    <row r="97" spans="1:59">
      <c r="A97" s="139" t="s">
        <v>534</v>
      </c>
      <c r="B97" s="233" t="s">
        <v>533</v>
      </c>
      <c r="C97" s="233" t="str">
        <f t="shared" si="9"/>
        <v>27417 FIFE SCHOOL DISTRICT</v>
      </c>
      <c r="D97" s="607"/>
      <c r="E97" s="607">
        <v>144185.5</v>
      </c>
      <c r="F97" s="607">
        <v>83818.789999999994</v>
      </c>
      <c r="G97" s="607">
        <v>8262277.8099999996</v>
      </c>
      <c r="H97" s="607">
        <v>1105411.52</v>
      </c>
      <c r="I97" s="607">
        <v>523220.54</v>
      </c>
      <c r="J97" s="607">
        <v>1581849.39</v>
      </c>
      <c r="K97" s="607">
        <v>1503888.47</v>
      </c>
      <c r="L97" s="607">
        <v>134918.51</v>
      </c>
      <c r="M97" s="607">
        <v>3319576.94</v>
      </c>
      <c r="N97" s="608">
        <v>3.73E-2</v>
      </c>
      <c r="O97" s="608">
        <v>0.1404</v>
      </c>
      <c r="P97" s="607"/>
      <c r="Q97" s="607"/>
      <c r="R97" s="607"/>
      <c r="S97" s="607"/>
      <c r="T97" s="607"/>
      <c r="U97" s="607"/>
      <c r="V97" s="607"/>
      <c r="W97" s="607"/>
      <c r="X97" s="607"/>
      <c r="Y97" s="607">
        <v>1264.32</v>
      </c>
      <c r="Z97" s="607">
        <v>48935.15</v>
      </c>
      <c r="AA97" s="607">
        <v>277299.19</v>
      </c>
      <c r="AB97" s="607">
        <v>671175.66</v>
      </c>
      <c r="AC97" s="607">
        <v>3471945.02</v>
      </c>
      <c r="AD97" s="607">
        <v>312.36</v>
      </c>
      <c r="AE97" s="607">
        <v>3182582.57</v>
      </c>
      <c r="AF97" s="148"/>
      <c r="AG97" s="148"/>
      <c r="AH97" s="148"/>
      <c r="AI97" s="607">
        <v>62.7</v>
      </c>
      <c r="AJ97" s="607">
        <v>627404.80000000005</v>
      </c>
      <c r="AK97" s="148"/>
      <c r="AL97" s="148"/>
      <c r="AM97" s="148"/>
      <c r="AN97" s="607"/>
      <c r="AO97" s="607"/>
      <c r="AP97" s="148"/>
      <c r="AQ97" s="168">
        <v>0</v>
      </c>
      <c r="AR97" s="238">
        <v>459983.42000000004</v>
      </c>
      <c r="AU97" s="633">
        <f t="shared" si="7"/>
        <v>0</v>
      </c>
      <c r="AX97" s="358">
        <v>91</v>
      </c>
      <c r="AY97" s="301" t="s">
        <v>533</v>
      </c>
      <c r="AZ97" s="139" t="s">
        <v>534</v>
      </c>
      <c r="BA97" s="633">
        <f t="shared" si="8"/>
        <v>0</v>
      </c>
      <c r="BC97" s="196">
        <v>91</v>
      </c>
      <c r="BD97" s="73" t="s">
        <v>533</v>
      </c>
      <c r="BE97" s="139" t="s">
        <v>534</v>
      </c>
      <c r="BF97" s="168">
        <v>0</v>
      </c>
      <c r="BG97" s="168">
        <v>412361.56000000006</v>
      </c>
    </row>
    <row r="98" spans="1:59">
      <c r="A98" s="139" t="s">
        <v>184</v>
      </c>
      <c r="B98" s="233" t="s">
        <v>183</v>
      </c>
      <c r="C98" s="233" t="str">
        <f t="shared" si="9"/>
        <v>03053 FINLEY SCHOOL DISTRICT</v>
      </c>
      <c r="D98" s="607">
        <v>24019.48</v>
      </c>
      <c r="E98" s="607">
        <v>16445.98</v>
      </c>
      <c r="F98" s="607">
        <v>25389.14</v>
      </c>
      <c r="G98" s="607">
        <v>1464469.3</v>
      </c>
      <c r="H98" s="607">
        <v>248257.08</v>
      </c>
      <c r="I98" s="607">
        <v>278543.96999999997</v>
      </c>
      <c r="J98" s="607">
        <v>438596.22</v>
      </c>
      <c r="K98" s="607">
        <v>308601.53000000003</v>
      </c>
      <c r="L98" s="607">
        <v>27080.67</v>
      </c>
      <c r="M98" s="607">
        <v>831060.42</v>
      </c>
      <c r="N98" s="608">
        <v>2.7699999999999999E-2</v>
      </c>
      <c r="O98" s="608">
        <v>0.19409999999999999</v>
      </c>
      <c r="P98" s="607"/>
      <c r="Q98" s="607"/>
      <c r="R98" s="607"/>
      <c r="S98" s="607"/>
      <c r="T98" s="607"/>
      <c r="U98" s="607"/>
      <c r="V98" s="607"/>
      <c r="W98" s="607"/>
      <c r="X98" s="607"/>
      <c r="Y98" s="607">
        <v>721.06</v>
      </c>
      <c r="Z98" s="607"/>
      <c r="AA98" s="607">
        <v>28706.09</v>
      </c>
      <c r="AB98" s="607">
        <v>38927.61</v>
      </c>
      <c r="AC98" s="607">
        <v>761951</v>
      </c>
      <c r="AD98" s="607">
        <v>73.459999999999994</v>
      </c>
      <c r="AE98" s="607">
        <v>691992.16</v>
      </c>
      <c r="AF98" s="148"/>
      <c r="AG98" s="148"/>
      <c r="AH98" s="148"/>
      <c r="AI98" s="607">
        <v>3.9</v>
      </c>
      <c r="AJ98" s="607">
        <v>36014.92</v>
      </c>
      <c r="AK98" s="148"/>
      <c r="AL98" s="148"/>
      <c r="AM98" s="148"/>
      <c r="AN98" s="607"/>
      <c r="AO98" s="607"/>
      <c r="AP98" s="148"/>
      <c r="AQ98" s="168">
        <v>234664.79000000004</v>
      </c>
      <c r="AR98" s="238">
        <v>100055.89</v>
      </c>
      <c r="AU98" s="633">
        <f t="shared" si="7"/>
        <v>0</v>
      </c>
      <c r="AX98" s="358">
        <v>92</v>
      </c>
      <c r="AY98" s="301" t="s">
        <v>183</v>
      </c>
      <c r="AZ98" s="139" t="s">
        <v>184</v>
      </c>
      <c r="BA98" s="633">
        <f t="shared" si="8"/>
        <v>0</v>
      </c>
      <c r="BC98" s="196">
        <v>92</v>
      </c>
      <c r="BD98" s="73" t="s">
        <v>183</v>
      </c>
      <c r="BE98" s="139" t="s">
        <v>184</v>
      </c>
      <c r="BF98" s="168">
        <v>234664.79000000004</v>
      </c>
      <c r="BG98" s="168">
        <v>87549.56</v>
      </c>
    </row>
    <row r="99" spans="1:59">
      <c r="A99" s="139" t="s">
        <v>526</v>
      </c>
      <c r="B99" s="233" t="s">
        <v>525</v>
      </c>
      <c r="C99" s="233" t="str">
        <f t="shared" si="9"/>
        <v>27402 FRANKLIN PIERCE SCHOOL DISTRICT</v>
      </c>
      <c r="D99" s="607"/>
      <c r="E99" s="607"/>
      <c r="F99" s="607"/>
      <c r="G99" s="607">
        <v>17960652.359999999</v>
      </c>
      <c r="H99" s="607">
        <v>2701950.13</v>
      </c>
      <c r="I99" s="607">
        <v>2354903.7000000002</v>
      </c>
      <c r="J99" s="607">
        <v>3707186.65</v>
      </c>
      <c r="K99" s="607">
        <v>2358734.7999999998</v>
      </c>
      <c r="L99" s="607">
        <v>228459.95</v>
      </c>
      <c r="M99" s="607">
        <v>6171392.2400000002</v>
      </c>
      <c r="N99" s="608">
        <v>3.1300000000000001E-2</v>
      </c>
      <c r="O99" s="608">
        <v>0.12809999999999999</v>
      </c>
      <c r="P99" s="607"/>
      <c r="Q99" s="607"/>
      <c r="R99" s="607"/>
      <c r="S99" s="607"/>
      <c r="T99" s="607"/>
      <c r="U99" s="607"/>
      <c r="V99" s="607"/>
      <c r="W99" s="607"/>
      <c r="X99" s="607"/>
      <c r="Y99" s="607">
        <v>5693.11</v>
      </c>
      <c r="Z99" s="607"/>
      <c r="AA99" s="607"/>
      <c r="AB99" s="607">
        <v>1140827.48</v>
      </c>
      <c r="AC99" s="607">
        <v>4382030.4400000004</v>
      </c>
      <c r="AD99" s="607">
        <v>410.56</v>
      </c>
      <c r="AE99" s="607">
        <v>4024949.84</v>
      </c>
      <c r="AF99" s="148"/>
      <c r="AG99" s="148"/>
      <c r="AH99" s="148"/>
      <c r="AI99" s="607">
        <v>110.1</v>
      </c>
      <c r="AJ99" s="607">
        <v>1059545.03</v>
      </c>
      <c r="AK99" s="148"/>
      <c r="AL99" s="148"/>
      <c r="AM99" s="148"/>
      <c r="AN99" s="607"/>
      <c r="AO99" s="607"/>
      <c r="AP99" s="148"/>
      <c r="AQ99" s="168">
        <v>0</v>
      </c>
      <c r="AR99" s="238">
        <v>874988.34999999986</v>
      </c>
      <c r="AU99" s="633">
        <f t="shared" si="7"/>
        <v>0</v>
      </c>
      <c r="AX99" s="358">
        <v>93</v>
      </c>
      <c r="AY99" s="301" t="s">
        <v>525</v>
      </c>
      <c r="AZ99" s="139" t="s">
        <v>526</v>
      </c>
      <c r="BA99" s="633">
        <f t="shared" si="8"/>
        <v>0</v>
      </c>
      <c r="BC99" s="196">
        <v>93</v>
      </c>
      <c r="BD99" s="73" t="s">
        <v>525</v>
      </c>
      <c r="BE99" s="139" t="s">
        <v>526</v>
      </c>
      <c r="BF99" s="168">
        <v>0</v>
      </c>
      <c r="BG99" s="168">
        <v>753310.40999999992</v>
      </c>
    </row>
    <row r="100" spans="1:59">
      <c r="A100" s="139" t="s">
        <v>607</v>
      </c>
      <c r="B100" s="233" t="s">
        <v>606</v>
      </c>
      <c r="C100" s="233" t="str">
        <f t="shared" si="9"/>
        <v>32358 FREEMAN SCHOOL DISTRICT</v>
      </c>
      <c r="D100" s="607"/>
      <c r="E100" s="607">
        <v>13738.69</v>
      </c>
      <c r="F100" s="607"/>
      <c r="G100" s="607">
        <v>1408779</v>
      </c>
      <c r="H100" s="607">
        <v>242865.88</v>
      </c>
      <c r="I100" s="607"/>
      <c r="J100" s="607">
        <v>136353.99</v>
      </c>
      <c r="K100" s="607">
        <v>6312.18</v>
      </c>
      <c r="L100" s="607">
        <v>27430.799999999999</v>
      </c>
      <c r="M100" s="607">
        <v>1176562.83</v>
      </c>
      <c r="N100" s="608">
        <v>5.2200000000000003E-2</v>
      </c>
      <c r="O100" s="608">
        <v>0.19969999999999999</v>
      </c>
      <c r="P100" s="607"/>
      <c r="Q100" s="607"/>
      <c r="R100" s="607"/>
      <c r="S100" s="607"/>
      <c r="T100" s="607"/>
      <c r="U100" s="607"/>
      <c r="V100" s="607"/>
      <c r="W100" s="607"/>
      <c r="X100" s="607"/>
      <c r="Y100" s="607">
        <v>729.26</v>
      </c>
      <c r="Z100" s="607"/>
      <c r="AA100" s="607">
        <v>69132.05</v>
      </c>
      <c r="AB100" s="607">
        <v>227283.01</v>
      </c>
      <c r="AC100" s="607">
        <v>996084.68</v>
      </c>
      <c r="AD100" s="607">
        <v>97.82</v>
      </c>
      <c r="AE100" s="607">
        <v>939565.54</v>
      </c>
      <c r="AF100" s="148"/>
      <c r="AG100" s="148"/>
      <c r="AH100" s="148"/>
      <c r="AI100" s="607">
        <v>22.83</v>
      </c>
      <c r="AJ100" s="607">
        <v>215286.92</v>
      </c>
      <c r="AK100" s="148"/>
      <c r="AL100" s="148"/>
      <c r="AM100" s="148"/>
      <c r="AN100" s="607"/>
      <c r="AO100" s="607"/>
      <c r="AP100" s="148"/>
      <c r="AQ100" s="168">
        <v>10633.600000000035</v>
      </c>
      <c r="AR100" s="238">
        <v>94376.79</v>
      </c>
      <c r="AU100" s="633">
        <f t="shared" si="7"/>
        <v>0</v>
      </c>
      <c r="AX100" s="358">
        <v>94</v>
      </c>
      <c r="AY100" s="301" t="s">
        <v>606</v>
      </c>
      <c r="AZ100" s="139" t="s">
        <v>607</v>
      </c>
      <c r="BA100" s="633">
        <f t="shared" si="8"/>
        <v>0</v>
      </c>
      <c r="BC100" s="196">
        <v>94</v>
      </c>
      <c r="BD100" s="73" t="s">
        <v>606</v>
      </c>
      <c r="BE100" s="139" t="s">
        <v>607</v>
      </c>
      <c r="BF100" s="168">
        <v>10633.600000000035</v>
      </c>
      <c r="BG100" s="168">
        <v>82072.27</v>
      </c>
    </row>
    <row r="101" spans="1:59">
      <c r="A101" s="139" t="s">
        <v>698</v>
      </c>
      <c r="B101" s="233" t="s">
        <v>697</v>
      </c>
      <c r="C101" s="233" t="str">
        <f t="shared" si="9"/>
        <v>38302 GARFIELD SCHOOL DISTRICT</v>
      </c>
      <c r="D101" s="607"/>
      <c r="E101" s="607"/>
      <c r="F101" s="607"/>
      <c r="G101" s="607">
        <v>275543.40999999997</v>
      </c>
      <c r="H101" s="607">
        <v>41791.949999999997</v>
      </c>
      <c r="I101" s="607">
        <v>28186</v>
      </c>
      <c r="J101" s="607">
        <v>49408.39</v>
      </c>
      <c r="K101" s="607"/>
      <c r="L101" s="607">
        <v>4089.73</v>
      </c>
      <c r="M101" s="607">
        <v>442179.74</v>
      </c>
      <c r="N101" s="608">
        <v>5.1299999999999998E-2</v>
      </c>
      <c r="O101" s="608">
        <v>0.25180000000000002</v>
      </c>
      <c r="P101" s="607"/>
      <c r="Q101" s="607"/>
      <c r="R101" s="607"/>
      <c r="S101" s="607"/>
      <c r="T101" s="607"/>
      <c r="U101" s="607"/>
      <c r="V101" s="607"/>
      <c r="W101" s="607"/>
      <c r="X101" s="607"/>
      <c r="Y101" s="607">
        <v>80.3</v>
      </c>
      <c r="Z101" s="607"/>
      <c r="AA101" s="607">
        <v>9042.09</v>
      </c>
      <c r="AB101" s="607"/>
      <c r="AC101" s="607">
        <v>112540.24</v>
      </c>
      <c r="AD101" s="607">
        <v>11.54</v>
      </c>
      <c r="AE101" s="607">
        <v>108728.26</v>
      </c>
      <c r="AF101" s="148"/>
      <c r="AG101" s="148"/>
      <c r="AH101" s="148"/>
      <c r="AI101" s="607"/>
      <c r="AJ101" s="607"/>
      <c r="AK101" s="148"/>
      <c r="AL101" s="148"/>
      <c r="AM101" s="148"/>
      <c r="AN101" s="607"/>
      <c r="AO101" s="607"/>
      <c r="AP101" s="148"/>
      <c r="AQ101" s="168">
        <v>70730.470000000016</v>
      </c>
      <c r="AR101" s="238">
        <v>24881.59</v>
      </c>
      <c r="AU101" s="633">
        <f t="shared" si="7"/>
        <v>0</v>
      </c>
      <c r="AX101" s="358">
        <v>95</v>
      </c>
      <c r="AY101" s="301" t="s">
        <v>697</v>
      </c>
      <c r="AZ101" s="139" t="s">
        <v>698</v>
      </c>
      <c r="BA101" s="633">
        <f t="shared" si="8"/>
        <v>0</v>
      </c>
      <c r="BC101" s="196">
        <v>95</v>
      </c>
      <c r="BD101" s="73" t="s">
        <v>697</v>
      </c>
      <c r="BE101" s="139" t="s">
        <v>698</v>
      </c>
      <c r="BF101" s="168">
        <v>70730.470000000016</v>
      </c>
      <c r="BG101" s="168">
        <v>22624.66</v>
      </c>
    </row>
    <row r="102" spans="1:59">
      <c r="A102" s="139" t="s">
        <v>405</v>
      </c>
      <c r="B102" s="233" t="s">
        <v>404</v>
      </c>
      <c r="C102" s="233" t="str">
        <f t="shared" si="9"/>
        <v>20401 GLENWOOD SCHOOL DISTRICT</v>
      </c>
      <c r="D102" s="607"/>
      <c r="E102" s="607"/>
      <c r="F102" s="607"/>
      <c r="G102" s="607"/>
      <c r="H102" s="607">
        <v>7371.99</v>
      </c>
      <c r="I102" s="607"/>
      <c r="J102" s="607">
        <v>21716.07</v>
      </c>
      <c r="K102" s="607"/>
      <c r="L102" s="607"/>
      <c r="M102" s="607">
        <v>126733.44</v>
      </c>
      <c r="N102" s="608">
        <v>6.9000000000000006E-2</v>
      </c>
      <c r="O102" s="608">
        <v>0.27500000000000002</v>
      </c>
      <c r="P102" s="607"/>
      <c r="Q102" s="607"/>
      <c r="R102" s="607"/>
      <c r="S102" s="607"/>
      <c r="T102" s="607"/>
      <c r="U102" s="607"/>
      <c r="V102" s="607"/>
      <c r="W102" s="607"/>
      <c r="X102" s="607"/>
      <c r="Y102" s="607">
        <v>36.869999999999997</v>
      </c>
      <c r="Z102" s="607"/>
      <c r="AA102" s="607"/>
      <c r="AB102" s="607"/>
      <c r="AC102" s="607"/>
      <c r="AD102" s="607"/>
      <c r="AE102" s="607"/>
      <c r="AF102" s="148"/>
      <c r="AG102" s="148"/>
      <c r="AH102" s="148"/>
      <c r="AI102" s="607"/>
      <c r="AJ102" s="607"/>
      <c r="AK102" s="148"/>
      <c r="AL102" s="148"/>
      <c r="AM102" s="148"/>
      <c r="AN102" s="607"/>
      <c r="AO102" s="607">
        <v>12260.94</v>
      </c>
      <c r="AP102" s="148"/>
      <c r="AQ102" s="168">
        <v>69647.509999999995</v>
      </c>
      <c r="AR102" s="238">
        <v>20139.739999999998</v>
      </c>
      <c r="AU102" s="633">
        <f t="shared" si="7"/>
        <v>0</v>
      </c>
      <c r="AX102" s="358">
        <v>96</v>
      </c>
      <c r="AY102" s="301" t="s">
        <v>404</v>
      </c>
      <c r="AZ102" s="139" t="s">
        <v>405</v>
      </c>
      <c r="BA102" s="633">
        <f t="shared" si="8"/>
        <v>0</v>
      </c>
      <c r="BC102" s="196">
        <v>96</v>
      </c>
      <c r="BD102" s="73" t="s">
        <v>404</v>
      </c>
      <c r="BE102" s="139" t="s">
        <v>405</v>
      </c>
      <c r="BF102" s="168">
        <v>69647.509999999995</v>
      </c>
      <c r="BG102" s="168">
        <v>20235.159999999996</v>
      </c>
    </row>
    <row r="103" spans="1:59">
      <c r="A103" s="139" t="s">
        <v>411</v>
      </c>
      <c r="B103" s="233" t="s">
        <v>410</v>
      </c>
      <c r="C103" s="233" t="str">
        <f t="shared" si="9"/>
        <v>20404 GOLDENDALE SCHOOL DISTRICT</v>
      </c>
      <c r="D103" s="607"/>
      <c r="E103" s="607"/>
      <c r="F103" s="607">
        <v>19357.78</v>
      </c>
      <c r="G103" s="607"/>
      <c r="H103" s="607">
        <v>1199158.56</v>
      </c>
      <c r="I103" s="607">
        <v>281086.24</v>
      </c>
      <c r="J103" s="607">
        <v>970261.52</v>
      </c>
      <c r="K103" s="607">
        <v>257476.82</v>
      </c>
      <c r="L103" s="607">
        <v>103459.19</v>
      </c>
      <c r="M103" s="607">
        <v>695966.54</v>
      </c>
      <c r="N103" s="608">
        <v>4.7E-2</v>
      </c>
      <c r="O103" s="608">
        <v>8.5199999999999998E-2</v>
      </c>
      <c r="P103" s="607"/>
      <c r="Q103" s="607"/>
      <c r="R103" s="607"/>
      <c r="S103" s="607"/>
      <c r="T103" s="607"/>
      <c r="U103" s="607"/>
      <c r="V103" s="607"/>
      <c r="W103" s="607"/>
      <c r="X103" s="607"/>
      <c r="Y103" s="607"/>
      <c r="Z103" s="607">
        <v>14456.69</v>
      </c>
      <c r="AA103" s="607">
        <v>75897.61</v>
      </c>
      <c r="AB103" s="607">
        <v>164923.66</v>
      </c>
      <c r="AC103" s="607">
        <v>974617.37</v>
      </c>
      <c r="AD103" s="607">
        <v>87.55</v>
      </c>
      <c r="AE103" s="607">
        <v>824654.76</v>
      </c>
      <c r="AF103" s="148"/>
      <c r="AG103" s="148"/>
      <c r="AH103" s="148"/>
      <c r="AI103" s="607">
        <v>16.850000000000001</v>
      </c>
      <c r="AJ103" s="607">
        <v>155664.35999999999</v>
      </c>
      <c r="AK103" s="148"/>
      <c r="AL103" s="148"/>
      <c r="AM103" s="148"/>
      <c r="AN103" s="607"/>
      <c r="AO103" s="607"/>
      <c r="AP103" s="148"/>
      <c r="AQ103" s="168">
        <v>8851.539999999979</v>
      </c>
      <c r="AR103" s="238">
        <v>94770.609999999986</v>
      </c>
      <c r="AU103" s="633">
        <f t="shared" si="7"/>
        <v>0</v>
      </c>
      <c r="AX103" s="358">
        <v>97</v>
      </c>
      <c r="AY103" s="301" t="s">
        <v>410</v>
      </c>
      <c r="AZ103" s="139" t="s">
        <v>411</v>
      </c>
      <c r="BA103" s="633">
        <f t="shared" si="8"/>
        <v>0</v>
      </c>
      <c r="BC103" s="196">
        <v>97</v>
      </c>
      <c r="BD103" s="73" t="s">
        <v>410</v>
      </c>
      <c r="BE103" s="139" t="s">
        <v>411</v>
      </c>
      <c r="BF103" s="168">
        <v>8851.539999999979</v>
      </c>
      <c r="BG103" s="168">
        <v>94851.34</v>
      </c>
    </row>
    <row r="104" spans="1:59">
      <c r="A104" s="139" t="s">
        <v>296</v>
      </c>
      <c r="B104" s="233" t="s">
        <v>295</v>
      </c>
      <c r="C104" s="233" t="str">
        <f t="shared" si="9"/>
        <v>13301 GRAND COULEE DAM SCHOOL DISTRICT</v>
      </c>
      <c r="D104" s="607"/>
      <c r="E104" s="607"/>
      <c r="F104" s="607">
        <v>7322.52</v>
      </c>
      <c r="G104" s="607">
        <v>1055448.1000000001</v>
      </c>
      <c r="H104" s="607">
        <v>163302.91</v>
      </c>
      <c r="I104" s="607">
        <v>213218.78</v>
      </c>
      <c r="J104" s="607">
        <v>341658.49</v>
      </c>
      <c r="K104" s="607"/>
      <c r="L104" s="607">
        <v>19232.810000000001</v>
      </c>
      <c r="M104" s="607">
        <v>587413.52</v>
      </c>
      <c r="N104" s="608">
        <v>5.3699999999999998E-2</v>
      </c>
      <c r="O104" s="608">
        <v>0.24060000000000001</v>
      </c>
      <c r="P104" s="607"/>
      <c r="Q104" s="607"/>
      <c r="R104" s="607"/>
      <c r="S104" s="607"/>
      <c r="T104" s="607"/>
      <c r="U104" s="607"/>
      <c r="V104" s="607"/>
      <c r="W104" s="607"/>
      <c r="X104" s="607"/>
      <c r="Y104" s="607">
        <v>26.22</v>
      </c>
      <c r="Z104" s="607">
        <v>8834.2000000000007</v>
      </c>
      <c r="AA104" s="607">
        <v>31321.25</v>
      </c>
      <c r="AB104" s="607">
        <v>102098.45</v>
      </c>
      <c r="AC104" s="607">
        <v>360742.24</v>
      </c>
      <c r="AD104" s="607">
        <v>36.46</v>
      </c>
      <c r="AE104" s="607">
        <v>343322.02</v>
      </c>
      <c r="AF104" s="148"/>
      <c r="AG104" s="148"/>
      <c r="AH104" s="148"/>
      <c r="AI104" s="607">
        <v>10.45</v>
      </c>
      <c r="AJ104" s="607">
        <v>96688.34</v>
      </c>
      <c r="AK104" s="148"/>
      <c r="AL104" s="148"/>
      <c r="AM104" s="148"/>
      <c r="AN104" s="607">
        <v>80.86</v>
      </c>
      <c r="AO104" s="607"/>
      <c r="AP104" s="148"/>
      <c r="AQ104" s="168">
        <v>11639.880000000019</v>
      </c>
      <c r="AR104" s="238">
        <v>68361.779999999984</v>
      </c>
      <c r="AU104" s="633">
        <f t="shared" si="7"/>
        <v>0</v>
      </c>
      <c r="AX104" s="358">
        <v>98</v>
      </c>
      <c r="AY104" s="301" t="s">
        <v>295</v>
      </c>
      <c r="AZ104" s="139" t="s">
        <v>296</v>
      </c>
      <c r="BA104" s="633">
        <f t="shared" si="8"/>
        <v>0</v>
      </c>
      <c r="BC104" s="196">
        <v>98</v>
      </c>
      <c r="BD104" s="73" t="s">
        <v>295</v>
      </c>
      <c r="BE104" s="139" t="s">
        <v>296</v>
      </c>
      <c r="BF104" s="168">
        <v>11639.880000000019</v>
      </c>
      <c r="BG104" s="168">
        <v>60550.879999999997</v>
      </c>
    </row>
    <row r="105" spans="1:59">
      <c r="A105" s="139" t="s">
        <v>723</v>
      </c>
      <c r="B105" s="233" t="s">
        <v>722</v>
      </c>
      <c r="C105" s="233" t="str">
        <f t="shared" si="9"/>
        <v>39200 GRANDVIEW SCHOOL DISTRICT</v>
      </c>
      <c r="D105" s="607">
        <v>286503.89</v>
      </c>
      <c r="E105" s="607">
        <v>183847.72</v>
      </c>
      <c r="F105" s="607"/>
      <c r="G105" s="607">
        <v>6860650.3899999997</v>
      </c>
      <c r="H105" s="607">
        <v>1188073.44</v>
      </c>
      <c r="I105" s="607">
        <v>1147999.0900000001</v>
      </c>
      <c r="J105" s="607">
        <v>2136166.9900000002</v>
      </c>
      <c r="K105" s="607">
        <v>1997788.95</v>
      </c>
      <c r="L105" s="607">
        <v>108212.13</v>
      </c>
      <c r="M105" s="607">
        <v>1731689.21</v>
      </c>
      <c r="N105" s="608">
        <v>6.83E-2</v>
      </c>
      <c r="O105" s="608">
        <v>0.1948</v>
      </c>
      <c r="P105" s="607"/>
      <c r="Q105" s="607"/>
      <c r="R105" s="607"/>
      <c r="S105" s="607"/>
      <c r="T105" s="607"/>
      <c r="U105" s="607"/>
      <c r="V105" s="607"/>
      <c r="W105" s="607"/>
      <c r="X105" s="607"/>
      <c r="Y105" s="607">
        <v>1384.77</v>
      </c>
      <c r="Z105" s="607"/>
      <c r="AA105" s="607">
        <v>45407.51</v>
      </c>
      <c r="AB105" s="607">
        <v>418245.74</v>
      </c>
      <c r="AC105" s="607">
        <v>3078959.87</v>
      </c>
      <c r="AD105" s="607">
        <v>302.11</v>
      </c>
      <c r="AE105" s="607">
        <v>2845651.97</v>
      </c>
      <c r="AF105" s="148"/>
      <c r="AG105" s="148"/>
      <c r="AH105" s="148"/>
      <c r="AI105" s="607">
        <v>42.84</v>
      </c>
      <c r="AJ105" s="607">
        <v>395789.45</v>
      </c>
      <c r="AK105" s="148"/>
      <c r="AL105" s="148"/>
      <c r="AM105" s="148"/>
      <c r="AN105" s="607"/>
      <c r="AO105" s="607"/>
      <c r="AP105" s="148"/>
      <c r="AQ105" s="168">
        <v>0</v>
      </c>
      <c r="AR105" s="238">
        <v>437174.40999999992</v>
      </c>
      <c r="AU105" s="633">
        <f t="shared" si="7"/>
        <v>0</v>
      </c>
      <c r="AX105" s="358">
        <v>99</v>
      </c>
      <c r="AY105" s="301" t="s">
        <v>722</v>
      </c>
      <c r="AZ105" s="139" t="s">
        <v>723</v>
      </c>
      <c r="BA105" s="633">
        <f t="shared" si="8"/>
        <v>0</v>
      </c>
      <c r="BC105" s="196">
        <v>99</v>
      </c>
      <c r="BD105" s="73" t="s">
        <v>722</v>
      </c>
      <c r="BE105" s="139" t="s">
        <v>723</v>
      </c>
      <c r="BF105" s="168">
        <v>0</v>
      </c>
      <c r="BG105" s="168">
        <v>378261.18999999994</v>
      </c>
    </row>
    <row r="106" spans="1:59">
      <c r="A106" s="139" t="s">
        <v>731</v>
      </c>
      <c r="B106" s="233" t="s">
        <v>730</v>
      </c>
      <c r="C106" s="233" t="str">
        <f t="shared" si="9"/>
        <v>39204 GRANGER SCHOOL DISTRICT</v>
      </c>
      <c r="D106" s="607">
        <v>241331.33</v>
      </c>
      <c r="E106" s="607">
        <v>85910.05</v>
      </c>
      <c r="F106" s="607"/>
      <c r="G106" s="607">
        <v>2686897.71</v>
      </c>
      <c r="H106" s="607">
        <v>457516.32</v>
      </c>
      <c r="I106" s="607">
        <v>448212.63</v>
      </c>
      <c r="J106" s="607">
        <v>888466.85</v>
      </c>
      <c r="K106" s="607">
        <v>1337854.74</v>
      </c>
      <c r="L106" s="607">
        <v>44213.33</v>
      </c>
      <c r="M106" s="607">
        <v>653113.78</v>
      </c>
      <c r="N106" s="608">
        <v>5.6399999999999999E-2</v>
      </c>
      <c r="O106" s="608">
        <v>0.17199999999999999</v>
      </c>
      <c r="P106" s="607"/>
      <c r="Q106" s="607"/>
      <c r="R106" s="607"/>
      <c r="S106" s="607"/>
      <c r="T106" s="607"/>
      <c r="U106" s="607"/>
      <c r="V106" s="607"/>
      <c r="W106" s="607"/>
      <c r="X106" s="607"/>
      <c r="Y106" s="607">
        <v>1157.8</v>
      </c>
      <c r="Z106" s="607">
        <v>8035.6</v>
      </c>
      <c r="AA106" s="607">
        <v>72320.399999999994</v>
      </c>
      <c r="AB106" s="607">
        <v>345557.15</v>
      </c>
      <c r="AC106" s="607">
        <v>1618117.08</v>
      </c>
      <c r="AD106" s="607">
        <v>164.26</v>
      </c>
      <c r="AE106" s="607">
        <v>1547161.28</v>
      </c>
      <c r="AF106" s="148"/>
      <c r="AG106" s="148"/>
      <c r="AH106" s="148"/>
      <c r="AI106" s="607">
        <v>35.42</v>
      </c>
      <c r="AJ106" s="607">
        <v>327100.94</v>
      </c>
      <c r="AK106" s="148"/>
      <c r="AL106" s="148"/>
      <c r="AM106" s="148"/>
      <c r="AN106" s="607"/>
      <c r="AO106" s="607"/>
      <c r="AP106" s="148"/>
      <c r="AQ106" s="168">
        <v>93778.929999999964</v>
      </c>
      <c r="AR106" s="238">
        <v>181671.40999999997</v>
      </c>
      <c r="AU106" s="633">
        <f t="shared" si="7"/>
        <v>0</v>
      </c>
      <c r="AX106" s="358">
        <v>100</v>
      </c>
      <c r="AY106" s="301" t="s">
        <v>730</v>
      </c>
      <c r="AZ106" s="139" t="s">
        <v>731</v>
      </c>
      <c r="BA106" s="633">
        <f t="shared" si="8"/>
        <v>0</v>
      </c>
      <c r="BC106" s="196">
        <v>100</v>
      </c>
      <c r="BD106" s="73" t="s">
        <v>730</v>
      </c>
      <c r="BE106" s="139" t="s">
        <v>731</v>
      </c>
      <c r="BF106" s="168">
        <v>93778.929999999964</v>
      </c>
      <c r="BG106" s="168">
        <v>158652.25999999998</v>
      </c>
    </row>
    <row r="107" spans="1:59">
      <c r="A107" s="139" t="s">
        <v>589</v>
      </c>
      <c r="B107" s="233" t="s">
        <v>588</v>
      </c>
      <c r="C107" s="233" t="str">
        <f t="shared" si="9"/>
        <v>31332 GRANITE FALLS SCHOOL DISTRICT</v>
      </c>
      <c r="D107" s="607"/>
      <c r="E107" s="607"/>
      <c r="F107" s="607"/>
      <c r="G107" s="607">
        <v>8834131.3800000008</v>
      </c>
      <c r="H107" s="607">
        <v>1146835.05</v>
      </c>
      <c r="I107" s="607">
        <v>82633.02</v>
      </c>
      <c r="J107" s="607">
        <v>803660.91</v>
      </c>
      <c r="K107" s="607">
        <v>167072.01</v>
      </c>
      <c r="L107" s="607">
        <v>76295.37</v>
      </c>
      <c r="M107" s="607">
        <v>2555713.13</v>
      </c>
      <c r="N107" s="608">
        <v>3.9800000000000002E-2</v>
      </c>
      <c r="O107" s="608">
        <v>0.16159999999999999</v>
      </c>
      <c r="P107" s="607"/>
      <c r="Q107" s="607"/>
      <c r="R107" s="607"/>
      <c r="S107" s="607"/>
      <c r="T107" s="607"/>
      <c r="U107" s="607"/>
      <c r="V107" s="607"/>
      <c r="W107" s="607"/>
      <c r="X107" s="607"/>
      <c r="Y107" s="607">
        <v>1861.65</v>
      </c>
      <c r="Z107" s="607"/>
      <c r="AA107" s="607"/>
      <c r="AB107" s="607">
        <v>552492.63</v>
      </c>
      <c r="AC107" s="607">
        <v>1197157.3400000001</v>
      </c>
      <c r="AD107" s="607">
        <v>109.89</v>
      </c>
      <c r="AE107" s="607">
        <v>1119474.68</v>
      </c>
      <c r="AF107" s="148"/>
      <c r="AG107" s="148"/>
      <c r="AH107" s="148"/>
      <c r="AI107" s="607">
        <v>51.74</v>
      </c>
      <c r="AJ107" s="607">
        <v>517838.32</v>
      </c>
      <c r="AK107" s="148"/>
      <c r="AL107" s="148"/>
      <c r="AM107" s="148"/>
      <c r="AN107" s="607"/>
      <c r="AO107" s="607"/>
      <c r="AP107" s="148"/>
      <c r="AQ107" s="168">
        <v>0</v>
      </c>
      <c r="AR107" s="238">
        <v>261735.3</v>
      </c>
      <c r="AU107" s="633">
        <f t="shared" si="7"/>
        <v>0</v>
      </c>
      <c r="AX107" s="358">
        <v>101</v>
      </c>
      <c r="AY107" s="301" t="s">
        <v>588</v>
      </c>
      <c r="AZ107" s="139" t="s">
        <v>589</v>
      </c>
      <c r="BA107" s="633">
        <f t="shared" si="8"/>
        <v>0</v>
      </c>
      <c r="BC107" s="196">
        <v>101</v>
      </c>
      <c r="BD107" s="73" t="s">
        <v>588</v>
      </c>
      <c r="BE107" s="139" t="s">
        <v>589</v>
      </c>
      <c r="BF107" s="168">
        <v>0</v>
      </c>
      <c r="BG107" s="168">
        <v>216140.50999999998</v>
      </c>
    </row>
    <row r="108" spans="1:59">
      <c r="A108" s="139" t="s">
        <v>461</v>
      </c>
      <c r="B108" s="233" t="s">
        <v>460</v>
      </c>
      <c r="C108" s="233" t="str">
        <f t="shared" si="9"/>
        <v>23054 GRAPEVIEW SCHOOL DISTRICT</v>
      </c>
      <c r="D108" s="607"/>
      <c r="E108" s="607"/>
      <c r="F108" s="607"/>
      <c r="G108" s="607">
        <v>545471.31999999995</v>
      </c>
      <c r="H108" s="607">
        <v>74995.41</v>
      </c>
      <c r="I108" s="607"/>
      <c r="J108" s="607">
        <v>83551.72</v>
      </c>
      <c r="K108" s="607"/>
      <c r="L108" s="607">
        <v>7320.93</v>
      </c>
      <c r="M108" s="607">
        <v>224796.74</v>
      </c>
      <c r="N108" s="608">
        <v>0.1171</v>
      </c>
      <c r="O108" s="608">
        <v>0.312</v>
      </c>
      <c r="P108" s="607"/>
      <c r="Q108" s="607"/>
      <c r="R108" s="607"/>
      <c r="S108" s="607"/>
      <c r="T108" s="607"/>
      <c r="U108" s="607"/>
      <c r="V108" s="607"/>
      <c r="W108" s="607"/>
      <c r="X108" s="607"/>
      <c r="Y108" s="607">
        <v>187.64</v>
      </c>
      <c r="Z108" s="607"/>
      <c r="AA108" s="607"/>
      <c r="AB108" s="607">
        <v>14055.04</v>
      </c>
      <c r="AC108" s="607"/>
      <c r="AD108" s="607"/>
      <c r="AE108" s="607"/>
      <c r="AF108" s="148"/>
      <c r="AG108" s="148"/>
      <c r="AH108" s="148"/>
      <c r="AI108" s="607">
        <v>1.39</v>
      </c>
      <c r="AJ108" s="607">
        <v>13238.45</v>
      </c>
      <c r="AK108" s="148"/>
      <c r="AL108" s="148"/>
      <c r="AM108" s="148"/>
      <c r="AN108" s="607"/>
      <c r="AO108" s="607"/>
      <c r="AP108" s="148"/>
      <c r="AQ108" s="168">
        <v>0</v>
      </c>
      <c r="AR108" s="238">
        <v>27476.6</v>
      </c>
      <c r="AU108" s="633">
        <f t="shared" si="7"/>
        <v>0</v>
      </c>
      <c r="AX108" s="358">
        <v>102</v>
      </c>
      <c r="AY108" s="301" t="s">
        <v>460</v>
      </c>
      <c r="AZ108" s="139" t="s">
        <v>461</v>
      </c>
      <c r="BA108" s="633">
        <f t="shared" si="8"/>
        <v>0</v>
      </c>
      <c r="BC108" s="196">
        <v>102</v>
      </c>
      <c r="BD108" s="73" t="s">
        <v>460</v>
      </c>
      <c r="BE108" s="139" t="s">
        <v>461</v>
      </c>
      <c r="BF108" s="168">
        <v>0</v>
      </c>
      <c r="BG108" s="168">
        <v>24277.59</v>
      </c>
    </row>
    <row r="109" spans="1:59">
      <c r="A109" s="139" t="s">
        <v>597</v>
      </c>
      <c r="B109" s="233" t="s">
        <v>596</v>
      </c>
      <c r="C109" s="233" t="str">
        <f t="shared" si="9"/>
        <v>32312 GREAT NORTHERN SCHOOL DISTRICT</v>
      </c>
      <c r="D109" s="607"/>
      <c r="E109" s="607"/>
      <c r="F109" s="607"/>
      <c r="G109" s="607">
        <v>97948.3</v>
      </c>
      <c r="H109" s="607">
        <v>15299.16</v>
      </c>
      <c r="I109" s="607">
        <v>13374.53</v>
      </c>
      <c r="J109" s="607">
        <v>17906.39</v>
      </c>
      <c r="K109" s="607"/>
      <c r="L109" s="607">
        <v>1215.8599999999999</v>
      </c>
      <c r="M109" s="607">
        <v>128070.13</v>
      </c>
      <c r="N109" s="608">
        <v>0.17169999999999999</v>
      </c>
      <c r="O109" s="608">
        <v>0.39029999999999998</v>
      </c>
      <c r="P109" s="607"/>
      <c r="Q109" s="607"/>
      <c r="R109" s="607"/>
      <c r="S109" s="607"/>
      <c r="T109" s="607"/>
      <c r="U109" s="607"/>
      <c r="V109" s="607"/>
      <c r="W109" s="607"/>
      <c r="X109" s="607"/>
      <c r="Y109" s="607">
        <v>30.32</v>
      </c>
      <c r="Z109" s="607"/>
      <c r="AA109" s="607"/>
      <c r="AB109" s="607"/>
      <c r="AC109" s="607"/>
      <c r="AD109" s="607"/>
      <c r="AE109" s="607"/>
      <c r="AF109" s="148"/>
      <c r="AG109" s="148"/>
      <c r="AH109" s="148"/>
      <c r="AI109" s="607"/>
      <c r="AJ109" s="607"/>
      <c r="AK109" s="148"/>
      <c r="AL109" s="148"/>
      <c r="AM109" s="148"/>
      <c r="AN109" s="607"/>
      <c r="AO109" s="607"/>
      <c r="AP109" s="148"/>
      <c r="AQ109" s="168">
        <v>7068.1100000000015</v>
      </c>
      <c r="AR109" s="238">
        <v>5592.92</v>
      </c>
      <c r="AU109" s="633">
        <f t="shared" si="7"/>
        <v>0</v>
      </c>
      <c r="AX109" s="358">
        <v>103</v>
      </c>
      <c r="AY109" s="301" t="s">
        <v>596</v>
      </c>
      <c r="AZ109" s="139" t="s">
        <v>597</v>
      </c>
      <c r="BA109" s="633">
        <f t="shared" si="8"/>
        <v>0</v>
      </c>
      <c r="BC109" s="196">
        <v>103</v>
      </c>
      <c r="BD109" s="73" t="s">
        <v>596</v>
      </c>
      <c r="BE109" s="139" t="s">
        <v>597</v>
      </c>
      <c r="BF109" s="168">
        <v>7068.1100000000015</v>
      </c>
      <c r="BG109" s="168">
        <v>4813.05</v>
      </c>
    </row>
    <row r="110" spans="1:59">
      <c r="A110" s="139" t="s">
        <v>219</v>
      </c>
      <c r="B110" s="233" t="s">
        <v>218</v>
      </c>
      <c r="C110" s="233" t="str">
        <f t="shared" si="9"/>
        <v>06103 GREEN MOUNTAIN SCHOOL DISTRICT</v>
      </c>
      <c r="D110" s="607"/>
      <c r="E110" s="607"/>
      <c r="F110" s="607"/>
      <c r="G110" s="607"/>
      <c r="H110" s="607">
        <v>37793.629999999997</v>
      </c>
      <c r="I110" s="607"/>
      <c r="J110" s="607">
        <v>26727.25</v>
      </c>
      <c r="K110" s="607"/>
      <c r="L110" s="607">
        <v>5810.27</v>
      </c>
      <c r="M110" s="607">
        <v>179371.34</v>
      </c>
      <c r="N110" s="608">
        <v>7.8100000000000003E-2</v>
      </c>
      <c r="O110" s="608">
        <v>0.24959999999999999</v>
      </c>
      <c r="P110" s="607"/>
      <c r="Q110" s="607"/>
      <c r="R110" s="607"/>
      <c r="S110" s="607"/>
      <c r="T110" s="607"/>
      <c r="U110" s="607"/>
      <c r="V110" s="607"/>
      <c r="W110" s="607"/>
      <c r="X110" s="607"/>
      <c r="Y110" s="607">
        <v>143.38999999999999</v>
      </c>
      <c r="Z110" s="607"/>
      <c r="AA110" s="607"/>
      <c r="AB110" s="607"/>
      <c r="AC110" s="607"/>
      <c r="AD110" s="607"/>
      <c r="AE110" s="607"/>
      <c r="AF110" s="148"/>
      <c r="AG110" s="148"/>
      <c r="AH110" s="148"/>
      <c r="AI110" s="607"/>
      <c r="AJ110" s="607"/>
      <c r="AK110" s="148"/>
      <c r="AL110" s="148"/>
      <c r="AM110" s="148"/>
      <c r="AN110" s="607"/>
      <c r="AO110" s="607"/>
      <c r="AP110" s="148"/>
      <c r="AQ110" s="168">
        <v>3996.6800000000021</v>
      </c>
      <c r="AR110" s="238">
        <v>18484.3</v>
      </c>
      <c r="AU110" s="633">
        <f t="shared" si="7"/>
        <v>0</v>
      </c>
      <c r="AX110" s="358">
        <v>104</v>
      </c>
      <c r="AY110" s="301" t="s">
        <v>218</v>
      </c>
      <c r="AZ110" s="139" t="s">
        <v>219</v>
      </c>
      <c r="BA110" s="633">
        <f t="shared" si="8"/>
        <v>0</v>
      </c>
      <c r="BC110" s="196">
        <v>104</v>
      </c>
      <c r="BD110" s="73" t="s">
        <v>218</v>
      </c>
      <c r="BE110" s="139" t="s">
        <v>219</v>
      </c>
      <c r="BF110" s="168">
        <v>3996.6800000000021</v>
      </c>
      <c r="BG110" s="168">
        <v>18583.739999999998</v>
      </c>
    </row>
    <row r="111" spans="1:59">
      <c r="A111" s="139" t="s">
        <v>651</v>
      </c>
      <c r="B111" s="233" t="s">
        <v>650</v>
      </c>
      <c r="C111" s="233" t="str">
        <f t="shared" si="9"/>
        <v>34324 GRIFFIN SCHOOL DISTRICT</v>
      </c>
      <c r="D111" s="607"/>
      <c r="E111" s="607"/>
      <c r="F111" s="607"/>
      <c r="G111" s="607">
        <v>1210802.17</v>
      </c>
      <c r="H111" s="607">
        <v>177635.83</v>
      </c>
      <c r="I111" s="607"/>
      <c r="J111" s="607">
        <v>119597.06</v>
      </c>
      <c r="K111" s="607">
        <v>4033.29</v>
      </c>
      <c r="L111" s="607">
        <v>17685.330000000002</v>
      </c>
      <c r="M111" s="607">
        <v>669844.96</v>
      </c>
      <c r="N111" s="608">
        <v>3.09E-2</v>
      </c>
      <c r="O111" s="608">
        <v>0.25459999999999999</v>
      </c>
      <c r="P111" s="607"/>
      <c r="Q111" s="607"/>
      <c r="R111" s="607"/>
      <c r="S111" s="607"/>
      <c r="T111" s="607"/>
      <c r="U111" s="607"/>
      <c r="V111" s="607"/>
      <c r="W111" s="607"/>
      <c r="X111" s="607"/>
      <c r="Y111" s="607">
        <v>449.03</v>
      </c>
      <c r="Z111" s="607"/>
      <c r="AA111" s="607"/>
      <c r="AB111" s="607"/>
      <c r="AC111" s="607"/>
      <c r="AD111" s="607"/>
      <c r="AE111" s="607"/>
      <c r="AF111" s="148"/>
      <c r="AG111" s="148"/>
      <c r="AH111" s="148"/>
      <c r="AI111" s="607"/>
      <c r="AJ111" s="607"/>
      <c r="AK111" s="148"/>
      <c r="AL111" s="148"/>
      <c r="AM111" s="148"/>
      <c r="AN111" s="607">
        <v>1335.47</v>
      </c>
      <c r="AO111" s="607"/>
      <c r="AP111" s="148"/>
      <c r="AQ111" s="168">
        <v>0</v>
      </c>
      <c r="AR111" s="238">
        <v>63106.92</v>
      </c>
      <c r="AU111" s="633">
        <f t="shared" si="7"/>
        <v>0</v>
      </c>
      <c r="AX111" s="358">
        <v>105</v>
      </c>
      <c r="AY111" s="301" t="s">
        <v>650</v>
      </c>
      <c r="AZ111" s="139" t="s">
        <v>651</v>
      </c>
      <c r="BA111" s="633">
        <f t="shared" si="8"/>
        <v>0</v>
      </c>
      <c r="BC111" s="196">
        <v>105</v>
      </c>
      <c r="BD111" s="73" t="s">
        <v>650</v>
      </c>
      <c r="BE111" s="139" t="s">
        <v>651</v>
      </c>
      <c r="BF111" s="168">
        <v>0</v>
      </c>
      <c r="BG111" s="168">
        <v>55059.7</v>
      </c>
    </row>
    <row r="112" spans="1:59">
      <c r="A112" s="139" t="s">
        <v>455</v>
      </c>
      <c r="B112" s="233" t="s">
        <v>454</v>
      </c>
      <c r="C112" s="233" t="str">
        <f t="shared" si="9"/>
        <v>22204 HARRINGTON SCHOOL DISTRICT</v>
      </c>
      <c r="D112" s="607"/>
      <c r="E112" s="607"/>
      <c r="F112" s="607">
        <v>313.05</v>
      </c>
      <c r="G112" s="607">
        <v>306856.58</v>
      </c>
      <c r="H112" s="607">
        <v>52574.5</v>
      </c>
      <c r="I112" s="607">
        <v>38403.14</v>
      </c>
      <c r="J112" s="607">
        <v>48118.21</v>
      </c>
      <c r="K112" s="607"/>
      <c r="L112" s="607">
        <v>3428.86</v>
      </c>
      <c r="M112" s="607">
        <v>275491.56</v>
      </c>
      <c r="N112" s="608">
        <v>5.1900000000000002E-2</v>
      </c>
      <c r="O112" s="608">
        <v>0.1978</v>
      </c>
      <c r="P112" s="607"/>
      <c r="Q112" s="607"/>
      <c r="R112" s="607"/>
      <c r="S112" s="607"/>
      <c r="T112" s="607"/>
      <c r="U112" s="607"/>
      <c r="V112" s="607"/>
      <c r="W112" s="607"/>
      <c r="X112" s="607"/>
      <c r="Y112" s="607">
        <v>93.41</v>
      </c>
      <c r="Z112" s="607"/>
      <c r="AA112" s="607"/>
      <c r="AB112" s="607">
        <v>25440.68</v>
      </c>
      <c r="AC112" s="607">
        <v>75294.31</v>
      </c>
      <c r="AD112" s="607">
        <v>7.39</v>
      </c>
      <c r="AE112" s="607">
        <v>71009.34</v>
      </c>
      <c r="AF112" s="148"/>
      <c r="AG112" s="148"/>
      <c r="AH112" s="148"/>
      <c r="AI112" s="607">
        <v>2.54</v>
      </c>
      <c r="AJ112" s="607">
        <v>23963</v>
      </c>
      <c r="AK112" s="148"/>
      <c r="AL112" s="148"/>
      <c r="AM112" s="148"/>
      <c r="AN112" s="607">
        <v>604.64</v>
      </c>
      <c r="AO112" s="607"/>
      <c r="AP112" s="148"/>
      <c r="AQ112" s="168">
        <v>105300.42</v>
      </c>
      <c r="AR112" s="238">
        <v>26301.739999999998</v>
      </c>
      <c r="AU112" s="633">
        <f t="shared" si="7"/>
        <v>0</v>
      </c>
      <c r="AX112" s="358">
        <v>106</v>
      </c>
      <c r="AY112" s="301" t="s">
        <v>454</v>
      </c>
      <c r="AZ112" s="139" t="s">
        <v>455</v>
      </c>
      <c r="BA112" s="633">
        <f t="shared" si="8"/>
        <v>0</v>
      </c>
      <c r="BC112" s="196">
        <v>106</v>
      </c>
      <c r="BD112" s="73" t="s">
        <v>454</v>
      </c>
      <c r="BE112" s="139" t="s">
        <v>455</v>
      </c>
      <c r="BF112" s="168">
        <v>105300.42</v>
      </c>
      <c r="BG112" s="168">
        <v>23695.069999999996</v>
      </c>
    </row>
    <row r="113" spans="1:59">
      <c r="A113" s="139" t="s">
        <v>729</v>
      </c>
      <c r="B113" s="233" t="s">
        <v>728</v>
      </c>
      <c r="C113" s="233" t="str">
        <f t="shared" si="9"/>
        <v>39203 HIGHLAND SCHOOL DISTRICT</v>
      </c>
      <c r="D113" s="607"/>
      <c r="E113" s="607">
        <v>24832.47</v>
      </c>
      <c r="F113" s="607"/>
      <c r="G113" s="607">
        <v>1443226.61</v>
      </c>
      <c r="H113" s="607">
        <v>246487.28</v>
      </c>
      <c r="I113" s="607">
        <v>341437.43</v>
      </c>
      <c r="J113" s="607">
        <v>599311.67000000004</v>
      </c>
      <c r="K113" s="607">
        <v>570220.64</v>
      </c>
      <c r="L113" s="607">
        <v>30175.61</v>
      </c>
      <c r="M113" s="607">
        <v>910904.1</v>
      </c>
      <c r="N113" s="608">
        <v>4.9200000000000001E-2</v>
      </c>
      <c r="O113" s="608">
        <v>0.21879999999999999</v>
      </c>
      <c r="P113" s="607"/>
      <c r="Q113" s="607"/>
      <c r="R113" s="607"/>
      <c r="S113" s="607"/>
      <c r="T113" s="607"/>
      <c r="U113" s="607"/>
      <c r="V113" s="607"/>
      <c r="W113" s="607"/>
      <c r="X113" s="607"/>
      <c r="Y113" s="607">
        <v>843.15</v>
      </c>
      <c r="Z113" s="607"/>
      <c r="AA113" s="607"/>
      <c r="AB113" s="607"/>
      <c r="AC113" s="607">
        <v>470990.73</v>
      </c>
      <c r="AD113" s="607">
        <v>47.21</v>
      </c>
      <c r="AE113" s="607">
        <v>444711.44</v>
      </c>
      <c r="AF113" s="148"/>
      <c r="AG113" s="148"/>
      <c r="AH113" s="148"/>
      <c r="AI113" s="607"/>
      <c r="AJ113" s="607"/>
      <c r="AK113" s="148"/>
      <c r="AL113" s="148"/>
      <c r="AM113" s="148"/>
      <c r="AN113" s="607">
        <v>20000</v>
      </c>
      <c r="AO113" s="607"/>
      <c r="AP113" s="148"/>
      <c r="AQ113" s="168">
        <v>46286.209999999934</v>
      </c>
      <c r="AR113" s="238">
        <v>121262.57</v>
      </c>
      <c r="AU113" s="633">
        <f t="shared" si="7"/>
        <v>0</v>
      </c>
      <c r="AX113" s="358">
        <v>107</v>
      </c>
      <c r="AY113" s="301" t="s">
        <v>728</v>
      </c>
      <c r="AZ113" s="139" t="s">
        <v>729</v>
      </c>
      <c r="BA113" s="633">
        <f t="shared" si="8"/>
        <v>0</v>
      </c>
      <c r="BC113" s="196">
        <v>107</v>
      </c>
      <c r="BD113" s="73" t="s">
        <v>728</v>
      </c>
      <c r="BE113" s="139" t="s">
        <v>729</v>
      </c>
      <c r="BF113" s="168">
        <v>46286.209999999934</v>
      </c>
      <c r="BG113" s="168">
        <v>108939.21</v>
      </c>
    </row>
    <row r="114" spans="1:59">
      <c r="A114" s="139" t="s">
        <v>347</v>
      </c>
      <c r="B114" s="233" t="s">
        <v>346</v>
      </c>
      <c r="C114" s="233" t="str">
        <f t="shared" si="9"/>
        <v>17401 HIGHLINE SCHOOL DISTRICT</v>
      </c>
      <c r="D114" s="607"/>
      <c r="E114" s="607">
        <v>374786.88</v>
      </c>
      <c r="F114" s="607">
        <v>490054.02</v>
      </c>
      <c r="G114" s="607">
        <v>48826160.350000001</v>
      </c>
      <c r="H114" s="607">
        <v>7326958.4299999997</v>
      </c>
      <c r="I114" s="607">
        <v>5499689.6799999997</v>
      </c>
      <c r="J114" s="607">
        <v>10288161.98</v>
      </c>
      <c r="K114" s="607">
        <v>13879241.92</v>
      </c>
      <c r="L114" s="607">
        <v>649100.63</v>
      </c>
      <c r="M114" s="607">
        <v>9520708.5899999999</v>
      </c>
      <c r="N114" s="608">
        <v>4.8000000000000001E-2</v>
      </c>
      <c r="O114" s="608">
        <v>0.14319999999999999</v>
      </c>
      <c r="P114" s="607"/>
      <c r="Q114" s="607"/>
      <c r="R114" s="607"/>
      <c r="S114" s="607"/>
      <c r="T114" s="607"/>
      <c r="U114" s="607"/>
      <c r="V114" s="607"/>
      <c r="W114" s="607"/>
      <c r="X114" s="607"/>
      <c r="Y114" s="607">
        <v>13569.08</v>
      </c>
      <c r="Z114" s="607"/>
      <c r="AA114" s="607">
        <v>298024.05</v>
      </c>
      <c r="AB114" s="607">
        <v>889595.32</v>
      </c>
      <c r="AC114" s="607">
        <v>9223483.7699999996</v>
      </c>
      <c r="AD114" s="607">
        <v>761.76</v>
      </c>
      <c r="AE114" s="607">
        <v>8054361.29</v>
      </c>
      <c r="AF114" s="148"/>
      <c r="AG114" s="148"/>
      <c r="AH114" s="148"/>
      <c r="AI114" s="607">
        <v>80.92</v>
      </c>
      <c r="AJ114" s="607">
        <v>841321.48</v>
      </c>
      <c r="AK114" s="148"/>
      <c r="AL114" s="148"/>
      <c r="AM114" s="148"/>
      <c r="AN114" s="607"/>
      <c r="AO114" s="607"/>
      <c r="AP114" s="148"/>
      <c r="AQ114" s="168">
        <v>0</v>
      </c>
      <c r="AR114" s="238">
        <v>2517447.11</v>
      </c>
      <c r="AU114" s="633">
        <f t="shared" si="7"/>
        <v>0</v>
      </c>
      <c r="AX114" s="358">
        <v>108</v>
      </c>
      <c r="AY114" s="301" t="s">
        <v>346</v>
      </c>
      <c r="AZ114" s="139" t="s">
        <v>347</v>
      </c>
      <c r="BA114" s="633">
        <f t="shared" si="8"/>
        <v>0</v>
      </c>
      <c r="BC114" s="196">
        <v>108</v>
      </c>
      <c r="BD114" s="73" t="s">
        <v>346</v>
      </c>
      <c r="BE114" s="139" t="s">
        <v>347</v>
      </c>
      <c r="BF114" s="168">
        <v>0</v>
      </c>
      <c r="BG114" s="168">
        <v>2194418.12</v>
      </c>
    </row>
    <row r="115" spans="1:59">
      <c r="A115" s="139" t="s">
        <v>216</v>
      </c>
      <c r="B115" s="233" t="s">
        <v>215</v>
      </c>
      <c r="C115" s="233" t="str">
        <f t="shared" si="9"/>
        <v>06098 HOCKINSON SCHOOL DISTRICT</v>
      </c>
      <c r="D115" s="607"/>
      <c r="E115" s="607">
        <v>26031.919999999998</v>
      </c>
      <c r="F115" s="607"/>
      <c r="G115" s="607">
        <v>3924484.16</v>
      </c>
      <c r="H115" s="607">
        <v>530105.64</v>
      </c>
      <c r="I115" s="607"/>
      <c r="J115" s="607">
        <v>395795.8</v>
      </c>
      <c r="K115" s="607">
        <v>218774.88</v>
      </c>
      <c r="L115" s="607">
        <v>66237.119999999995</v>
      </c>
      <c r="M115" s="607">
        <v>1847096.08</v>
      </c>
      <c r="N115" s="608">
        <v>4.2299999999999997E-2</v>
      </c>
      <c r="O115" s="608">
        <v>0.2041</v>
      </c>
      <c r="P115" s="607"/>
      <c r="Q115" s="607"/>
      <c r="R115" s="607"/>
      <c r="S115" s="607"/>
      <c r="T115" s="607"/>
      <c r="U115" s="607"/>
      <c r="V115" s="607"/>
      <c r="W115" s="607"/>
      <c r="X115" s="607"/>
      <c r="Y115" s="607">
        <v>1706.79</v>
      </c>
      <c r="Z115" s="607"/>
      <c r="AA115" s="607">
        <v>82670.990000000005</v>
      </c>
      <c r="AB115" s="607">
        <v>159694.41</v>
      </c>
      <c r="AC115" s="607">
        <v>808210.77</v>
      </c>
      <c r="AD115" s="607">
        <v>78.489999999999995</v>
      </c>
      <c r="AE115" s="607">
        <v>769551.76</v>
      </c>
      <c r="AF115" s="148"/>
      <c r="AG115" s="148"/>
      <c r="AH115" s="148"/>
      <c r="AI115" s="607">
        <v>15.59</v>
      </c>
      <c r="AJ115" s="607">
        <v>150108.92000000001</v>
      </c>
      <c r="AK115" s="148"/>
      <c r="AL115" s="148"/>
      <c r="AM115" s="148"/>
      <c r="AN115" s="607"/>
      <c r="AO115" s="607"/>
      <c r="AP115" s="148"/>
      <c r="AQ115" s="168">
        <v>0</v>
      </c>
      <c r="AR115" s="238">
        <v>214191.02000000002</v>
      </c>
      <c r="AU115" s="633">
        <f t="shared" si="7"/>
        <v>0</v>
      </c>
      <c r="AX115" s="358">
        <v>109</v>
      </c>
      <c r="AY115" s="301" t="s">
        <v>215</v>
      </c>
      <c r="AZ115" s="139" t="s">
        <v>216</v>
      </c>
      <c r="BA115" s="633">
        <f t="shared" si="8"/>
        <v>0</v>
      </c>
      <c r="BC115" s="196">
        <v>109</v>
      </c>
      <c r="BD115" s="73" t="s">
        <v>215</v>
      </c>
      <c r="BE115" s="139" t="s">
        <v>216</v>
      </c>
      <c r="BF115" s="168">
        <v>0</v>
      </c>
      <c r="BG115" s="168">
        <v>195052.33000000002</v>
      </c>
    </row>
    <row r="116" spans="1:59">
      <c r="A116" s="139" t="s">
        <v>471</v>
      </c>
      <c r="B116" s="233" t="s">
        <v>470</v>
      </c>
      <c r="C116" s="233" t="str">
        <f t="shared" si="9"/>
        <v>23404 HOOD CANAL SCHOOL DISTRICT</v>
      </c>
      <c r="D116" s="607"/>
      <c r="E116" s="607"/>
      <c r="F116" s="607"/>
      <c r="G116" s="607">
        <v>995274.75</v>
      </c>
      <c r="H116" s="607">
        <v>137202.54</v>
      </c>
      <c r="I116" s="607">
        <v>102795.99</v>
      </c>
      <c r="J116" s="607">
        <v>168784.39</v>
      </c>
      <c r="K116" s="607">
        <v>29541.15</v>
      </c>
      <c r="L116" s="607">
        <v>10169.08</v>
      </c>
      <c r="M116" s="607">
        <v>521525.52</v>
      </c>
      <c r="N116" s="608">
        <v>6.88E-2</v>
      </c>
      <c r="O116" s="608">
        <v>0.2369</v>
      </c>
      <c r="P116" s="607"/>
      <c r="Q116" s="607"/>
      <c r="R116" s="607"/>
      <c r="S116" s="607"/>
      <c r="T116" s="607"/>
      <c r="U116" s="607"/>
      <c r="V116" s="607"/>
      <c r="W116" s="607"/>
      <c r="X116" s="607"/>
      <c r="Y116" s="607">
        <v>272.86</v>
      </c>
      <c r="Z116" s="607"/>
      <c r="AA116" s="607"/>
      <c r="AB116" s="607"/>
      <c r="AC116" s="607"/>
      <c r="AD116" s="607"/>
      <c r="AE116" s="607"/>
      <c r="AF116" s="148"/>
      <c r="AG116" s="148"/>
      <c r="AH116" s="148"/>
      <c r="AI116" s="607"/>
      <c r="AJ116" s="607"/>
      <c r="AK116" s="148"/>
      <c r="AL116" s="148"/>
      <c r="AM116" s="148"/>
      <c r="AN116" s="607">
        <v>1332.38</v>
      </c>
      <c r="AO116" s="607"/>
      <c r="AP116" s="148"/>
      <c r="AQ116" s="168">
        <v>15378.180000000008</v>
      </c>
      <c r="AR116" s="238">
        <v>41685.509999999995</v>
      </c>
      <c r="AU116" s="633">
        <f t="shared" si="7"/>
        <v>0</v>
      </c>
      <c r="AX116" s="358">
        <v>110</v>
      </c>
      <c r="AY116" s="301" t="s">
        <v>470</v>
      </c>
      <c r="AZ116" s="139" t="s">
        <v>471</v>
      </c>
      <c r="BA116" s="633">
        <f t="shared" si="8"/>
        <v>0</v>
      </c>
      <c r="BC116" s="196">
        <v>110</v>
      </c>
      <c r="BD116" s="73" t="s">
        <v>470</v>
      </c>
      <c r="BE116" s="139" t="s">
        <v>471</v>
      </c>
      <c r="BF116" s="168">
        <v>15378.180000000008</v>
      </c>
      <c r="BG116" s="168">
        <v>35022.049999999996</v>
      </c>
    </row>
    <row r="117" spans="1:59">
      <c r="A117" s="139" t="s">
        <v>300</v>
      </c>
      <c r="B117" s="233" t="s">
        <v>299</v>
      </c>
      <c r="C117" s="233" t="str">
        <f t="shared" si="9"/>
        <v>14028 HOQUIAM SCHOOL DISTRICT</v>
      </c>
      <c r="D117" s="607"/>
      <c r="E117" s="607">
        <v>63781.25</v>
      </c>
      <c r="F117" s="607">
        <v>16917.84</v>
      </c>
      <c r="G117" s="607">
        <v>3579432.85</v>
      </c>
      <c r="H117" s="607">
        <v>567982.81000000006</v>
      </c>
      <c r="I117" s="607">
        <v>504031.95</v>
      </c>
      <c r="J117" s="607">
        <v>809877.66</v>
      </c>
      <c r="K117" s="607">
        <v>219433.02</v>
      </c>
      <c r="L117" s="607">
        <v>47860.93</v>
      </c>
      <c r="M117" s="607">
        <v>1359430.64</v>
      </c>
      <c r="N117" s="608">
        <v>2.3E-2</v>
      </c>
      <c r="O117" s="608">
        <v>0.18459999999999999</v>
      </c>
      <c r="P117" s="607"/>
      <c r="Q117" s="607"/>
      <c r="R117" s="607"/>
      <c r="S117" s="607"/>
      <c r="T117" s="607"/>
      <c r="U117" s="607"/>
      <c r="V117" s="607"/>
      <c r="W117" s="607"/>
      <c r="X117" s="607"/>
      <c r="Y117" s="607"/>
      <c r="Z117" s="607"/>
      <c r="AA117" s="607">
        <v>8458.2900000000009</v>
      </c>
      <c r="AB117" s="607">
        <v>215658.38</v>
      </c>
      <c r="AC117" s="607">
        <v>1048543.75</v>
      </c>
      <c r="AD117" s="607">
        <v>102.61</v>
      </c>
      <c r="AE117" s="607">
        <v>966351.68</v>
      </c>
      <c r="AF117" s="148"/>
      <c r="AG117" s="148"/>
      <c r="AH117" s="148"/>
      <c r="AI117" s="607">
        <v>21.49</v>
      </c>
      <c r="AJ117" s="607">
        <v>198558.03</v>
      </c>
      <c r="AK117" s="148"/>
      <c r="AL117" s="148"/>
      <c r="AM117" s="148"/>
      <c r="AN117" s="607">
        <v>1224.24</v>
      </c>
      <c r="AO117" s="607"/>
      <c r="AP117" s="148"/>
      <c r="AQ117" s="168">
        <v>0</v>
      </c>
      <c r="AR117" s="238">
        <v>172070.69</v>
      </c>
      <c r="AU117" s="633">
        <f t="shared" si="7"/>
        <v>0</v>
      </c>
      <c r="AX117" s="358">
        <v>111</v>
      </c>
      <c r="AY117" s="301" t="s">
        <v>299</v>
      </c>
      <c r="AZ117" s="139" t="s">
        <v>300</v>
      </c>
      <c r="BA117" s="633">
        <f t="shared" si="8"/>
        <v>0</v>
      </c>
      <c r="BC117" s="196">
        <v>111</v>
      </c>
      <c r="BD117" s="73" t="s">
        <v>299</v>
      </c>
      <c r="BE117" s="139" t="s">
        <v>300</v>
      </c>
      <c r="BF117" s="168">
        <v>0</v>
      </c>
      <c r="BG117" s="168">
        <v>145552.13</v>
      </c>
    </row>
    <row r="118" spans="1:59">
      <c r="A118" s="295" t="s">
        <v>2302</v>
      </c>
      <c r="B118" s="235" t="s">
        <v>2303</v>
      </c>
      <c r="C118" s="233" t="str">
        <f>CONCATENATE(B118," ",A118," CHARTER")</f>
        <v>17919 IMPACT BLACK RIVER CHARTER</v>
      </c>
      <c r="D118" s="607"/>
      <c r="E118" s="607"/>
      <c r="F118" s="607"/>
      <c r="G118" s="607">
        <v>601486.71</v>
      </c>
      <c r="H118" s="607">
        <v>105348.58</v>
      </c>
      <c r="I118" s="607">
        <v>75254.350000000006</v>
      </c>
      <c r="J118" s="607">
        <v>102677.53</v>
      </c>
      <c r="K118" s="607">
        <v>133211.14000000001</v>
      </c>
      <c r="L118" s="607">
        <v>9821.33</v>
      </c>
      <c r="M118" s="607">
        <v>149197.03</v>
      </c>
      <c r="N118" s="608">
        <v>3.8699999999999998E-2</v>
      </c>
      <c r="O118" s="608">
        <v>0.1535</v>
      </c>
      <c r="P118" s="607"/>
      <c r="Q118" s="607"/>
      <c r="R118" s="607"/>
      <c r="S118" s="607"/>
      <c r="T118" s="607"/>
      <c r="U118" s="607"/>
      <c r="V118" s="607"/>
      <c r="W118" s="607"/>
      <c r="X118" s="607"/>
      <c r="Y118" s="607"/>
      <c r="Z118" s="607"/>
      <c r="AA118" s="607"/>
      <c r="AB118" s="607"/>
      <c r="AC118" s="607"/>
      <c r="AD118" s="607"/>
      <c r="AE118" s="607"/>
      <c r="AF118" s="148"/>
      <c r="AG118" s="148"/>
      <c r="AH118" s="148"/>
      <c r="AI118" s="607"/>
      <c r="AJ118" s="607"/>
      <c r="AK118" s="148"/>
      <c r="AL118" s="148"/>
      <c r="AM118" s="148"/>
      <c r="AN118" s="607"/>
      <c r="AO118" s="607"/>
      <c r="AP118" s="148"/>
      <c r="AQ118" s="168">
        <v>0</v>
      </c>
      <c r="AR118" s="238">
        <v>44257.24</v>
      </c>
      <c r="AU118" s="633">
        <f t="shared" si="7"/>
        <v>0</v>
      </c>
      <c r="AX118" s="358">
        <v>112</v>
      </c>
      <c r="AY118" s="306" t="s">
        <v>2303</v>
      </c>
      <c r="AZ118" s="295" t="s">
        <v>2302</v>
      </c>
      <c r="BA118" s="633">
        <f t="shared" si="8"/>
        <v>0</v>
      </c>
      <c r="BC118" s="196">
        <v>112</v>
      </c>
      <c r="BD118" s="290" t="s">
        <v>2303</v>
      </c>
      <c r="BE118" s="295" t="s">
        <v>2302</v>
      </c>
      <c r="BF118" s="168">
        <v>0</v>
      </c>
      <c r="BG118" s="168">
        <v>39414.449999999997</v>
      </c>
    </row>
    <row r="119" spans="1:59">
      <c r="A119" s="73" t="s">
        <v>1633</v>
      </c>
      <c r="B119" s="233" t="s">
        <v>1634</v>
      </c>
      <c r="C119" s="233" t="str">
        <f>CONCATENATE(B119," ",A119," CHARTER")</f>
        <v>27902 IMPACT COMMENCEMENT BAY CHARTER</v>
      </c>
      <c r="D119" s="607"/>
      <c r="E119" s="607"/>
      <c r="F119" s="607"/>
      <c r="G119" s="607">
        <v>813876.81</v>
      </c>
      <c r="H119" s="607">
        <v>128288.01</v>
      </c>
      <c r="I119" s="607">
        <v>80682.960000000006</v>
      </c>
      <c r="J119" s="607">
        <v>110299.24</v>
      </c>
      <c r="K119" s="607">
        <v>47837.89</v>
      </c>
      <c r="L119" s="607">
        <v>9140.82</v>
      </c>
      <c r="M119" s="607">
        <v>224871.99</v>
      </c>
      <c r="N119" s="608">
        <v>3.8699999999999998E-2</v>
      </c>
      <c r="O119" s="608">
        <v>0.1535</v>
      </c>
      <c r="P119" s="607"/>
      <c r="Q119" s="607"/>
      <c r="R119" s="607"/>
      <c r="S119" s="607"/>
      <c r="T119" s="607"/>
      <c r="U119" s="607"/>
      <c r="V119" s="607"/>
      <c r="W119" s="607"/>
      <c r="X119" s="607"/>
      <c r="Y119" s="607"/>
      <c r="Z119" s="607"/>
      <c r="AA119" s="607"/>
      <c r="AB119" s="607"/>
      <c r="AC119" s="607"/>
      <c r="AD119" s="607"/>
      <c r="AE119" s="607"/>
      <c r="AF119" s="148"/>
      <c r="AG119" s="148"/>
      <c r="AH119" s="148"/>
      <c r="AI119" s="607"/>
      <c r="AJ119" s="607"/>
      <c r="AK119" s="148"/>
      <c r="AL119" s="148"/>
      <c r="AM119" s="148"/>
      <c r="AN119" s="607"/>
      <c r="AO119" s="607"/>
      <c r="AP119" s="148"/>
      <c r="AQ119" s="168">
        <v>16332.539999999994</v>
      </c>
      <c r="AR119" s="238">
        <v>38923.140000000007</v>
      </c>
      <c r="AU119" s="633">
        <f t="shared" si="7"/>
        <v>0</v>
      </c>
      <c r="AX119" s="358">
        <v>113</v>
      </c>
      <c r="AY119" s="302" t="s">
        <v>1634</v>
      </c>
      <c r="AZ119" s="73" t="s">
        <v>1633</v>
      </c>
      <c r="BA119" s="633">
        <f t="shared" si="8"/>
        <v>0</v>
      </c>
      <c r="BC119" s="474">
        <v>113</v>
      </c>
      <c r="BD119" s="172" t="s">
        <v>1634</v>
      </c>
      <c r="BE119" s="73" t="s">
        <v>1633</v>
      </c>
      <c r="BF119" s="168">
        <v>16332.539999999994</v>
      </c>
      <c r="BG119" s="168">
        <v>33877.630000000005</v>
      </c>
    </row>
    <row r="120" spans="1:59">
      <c r="A120" s="73" t="s">
        <v>1589</v>
      </c>
      <c r="B120" s="233" t="s">
        <v>1509</v>
      </c>
      <c r="C120" s="233" t="str">
        <f>CONCATENATE(B120," ",A120," CHARTER")</f>
        <v>17911 IMPACT PUGET SOUND CHARTER</v>
      </c>
      <c r="D120" s="607"/>
      <c r="E120" s="607"/>
      <c r="F120" s="607"/>
      <c r="G120" s="607">
        <v>1260799.54</v>
      </c>
      <c r="H120" s="607">
        <v>175170.66</v>
      </c>
      <c r="I120" s="607">
        <v>184692.03</v>
      </c>
      <c r="J120" s="607">
        <v>267599.34999999998</v>
      </c>
      <c r="K120" s="607">
        <v>305794.40000000002</v>
      </c>
      <c r="L120" s="607">
        <v>19132.46</v>
      </c>
      <c r="M120" s="607">
        <v>266959.94</v>
      </c>
      <c r="N120" s="608">
        <v>0.17219999999999999</v>
      </c>
      <c r="O120" s="608">
        <v>0.31830000000000003</v>
      </c>
      <c r="P120" s="607"/>
      <c r="Q120" s="607"/>
      <c r="R120" s="607"/>
      <c r="S120" s="607"/>
      <c r="T120" s="607"/>
      <c r="U120" s="607"/>
      <c r="V120" s="607"/>
      <c r="W120" s="607"/>
      <c r="X120" s="607"/>
      <c r="Y120" s="607"/>
      <c r="Z120" s="607"/>
      <c r="AA120" s="607"/>
      <c r="AB120" s="607"/>
      <c r="AC120" s="607"/>
      <c r="AD120" s="607"/>
      <c r="AE120" s="607"/>
      <c r="AF120" s="148"/>
      <c r="AG120" s="148"/>
      <c r="AH120" s="148"/>
      <c r="AI120" s="607"/>
      <c r="AJ120" s="607"/>
      <c r="AK120" s="148"/>
      <c r="AL120" s="148"/>
      <c r="AM120" s="148"/>
      <c r="AN120" s="607"/>
      <c r="AO120" s="607"/>
      <c r="AP120" s="148"/>
      <c r="AQ120" s="168">
        <v>101460.69000000002</v>
      </c>
      <c r="AR120" s="238">
        <v>83236.509999999995</v>
      </c>
      <c r="AU120" s="633">
        <f t="shared" si="7"/>
        <v>0</v>
      </c>
      <c r="AX120" s="358">
        <v>114</v>
      </c>
      <c r="AY120" s="307" t="s">
        <v>1509</v>
      </c>
      <c r="AZ120" s="73" t="s">
        <v>1589</v>
      </c>
      <c r="BA120" s="633">
        <f t="shared" si="8"/>
        <v>0</v>
      </c>
      <c r="BC120" s="474">
        <v>114</v>
      </c>
      <c r="BD120" s="172" t="s">
        <v>1509</v>
      </c>
      <c r="BE120" s="73" t="s">
        <v>1589</v>
      </c>
      <c r="BF120" s="168">
        <v>101460.69000000002</v>
      </c>
      <c r="BG120" s="168">
        <v>75133.609999999986</v>
      </c>
    </row>
    <row r="121" spans="1:59">
      <c r="A121" s="73" t="s">
        <v>1590</v>
      </c>
      <c r="B121" s="233" t="s">
        <v>1576</v>
      </c>
      <c r="C121" s="233" t="str">
        <f>CONCATENATE(B121," ",A121," CHARTER")</f>
        <v>17916 IMPACT SALISH SEA CHARTER</v>
      </c>
      <c r="D121" s="607"/>
      <c r="E121" s="607"/>
      <c r="F121" s="607"/>
      <c r="G121" s="607">
        <v>642949.05000000005</v>
      </c>
      <c r="H121" s="607">
        <v>109781.03</v>
      </c>
      <c r="I121" s="607">
        <v>143748.56</v>
      </c>
      <c r="J121" s="607">
        <v>196171.5</v>
      </c>
      <c r="K121" s="607">
        <v>173715.38</v>
      </c>
      <c r="L121" s="607">
        <v>15943.72</v>
      </c>
      <c r="M121" s="607">
        <v>147698.49</v>
      </c>
      <c r="N121" s="608">
        <v>3.8699999999999998E-2</v>
      </c>
      <c r="O121" s="608">
        <v>0.1535</v>
      </c>
      <c r="P121" s="607"/>
      <c r="Q121" s="607"/>
      <c r="R121" s="607"/>
      <c r="S121" s="607"/>
      <c r="T121" s="607"/>
      <c r="U121" s="607"/>
      <c r="V121" s="607"/>
      <c r="W121" s="607"/>
      <c r="X121" s="607"/>
      <c r="Y121" s="607"/>
      <c r="Z121" s="607"/>
      <c r="AA121" s="607"/>
      <c r="AB121" s="607"/>
      <c r="AC121" s="607"/>
      <c r="AD121" s="607"/>
      <c r="AE121" s="607"/>
      <c r="AF121" s="148"/>
      <c r="AG121" s="148"/>
      <c r="AH121" s="148"/>
      <c r="AI121" s="607"/>
      <c r="AJ121" s="607"/>
      <c r="AK121" s="148"/>
      <c r="AL121" s="148"/>
      <c r="AM121" s="148"/>
      <c r="AN121" s="607"/>
      <c r="AO121" s="607"/>
      <c r="AP121" s="148"/>
      <c r="AQ121" s="168">
        <v>1166.8699999999662</v>
      </c>
      <c r="AR121" s="238">
        <v>65922.86</v>
      </c>
      <c r="AU121" s="633">
        <f t="shared" si="7"/>
        <v>0</v>
      </c>
      <c r="AX121" s="358">
        <v>115</v>
      </c>
      <c r="AY121" s="302" t="s">
        <v>1576</v>
      </c>
      <c r="AZ121" s="73" t="s">
        <v>1590</v>
      </c>
      <c r="BA121" s="633">
        <f t="shared" si="8"/>
        <v>0</v>
      </c>
      <c r="BC121" s="474">
        <v>115</v>
      </c>
      <c r="BD121" s="172" t="s">
        <v>1576</v>
      </c>
      <c r="BE121" s="73" t="s">
        <v>1590</v>
      </c>
      <c r="BF121" s="168">
        <v>1166.8699999999662</v>
      </c>
      <c r="BG121" s="168">
        <v>61075.22</v>
      </c>
    </row>
    <row r="122" spans="1:59">
      <c r="A122" s="139" t="s">
        <v>264</v>
      </c>
      <c r="B122" s="233" t="s">
        <v>263</v>
      </c>
      <c r="C122" s="233" t="str">
        <f t="shared" ref="C122:C148" si="10">CONCATENATE(B122," ",A122," SCHOOL DISTRICT")</f>
        <v>10070 INCHELIUM SCHOOL DISTRICT</v>
      </c>
      <c r="D122" s="607"/>
      <c r="E122" s="607"/>
      <c r="F122" s="607"/>
      <c r="G122" s="607">
        <v>314150.38</v>
      </c>
      <c r="H122" s="607">
        <v>45740.11</v>
      </c>
      <c r="I122" s="607">
        <v>60572.26</v>
      </c>
      <c r="J122" s="607">
        <v>108875.33</v>
      </c>
      <c r="K122" s="607"/>
      <c r="L122" s="607"/>
      <c r="M122" s="607"/>
      <c r="N122" s="608">
        <v>6.0199999999999997E-2</v>
      </c>
      <c r="O122" s="608">
        <v>0.32500000000000001</v>
      </c>
      <c r="P122" s="607"/>
      <c r="Q122" s="607"/>
      <c r="R122" s="607"/>
      <c r="S122" s="607"/>
      <c r="T122" s="607"/>
      <c r="U122" s="607"/>
      <c r="V122" s="607"/>
      <c r="W122" s="607"/>
      <c r="X122" s="607"/>
      <c r="Y122" s="607">
        <v>156.5</v>
      </c>
      <c r="Z122" s="607"/>
      <c r="AA122" s="607"/>
      <c r="AB122" s="607">
        <v>5880.1</v>
      </c>
      <c r="AC122" s="607">
        <v>43844.46</v>
      </c>
      <c r="AD122" s="607">
        <v>4.21</v>
      </c>
      <c r="AE122" s="607">
        <v>39619.85</v>
      </c>
      <c r="AF122" s="148"/>
      <c r="AG122" s="148"/>
      <c r="AH122" s="148"/>
      <c r="AI122" s="607">
        <v>0.59</v>
      </c>
      <c r="AJ122" s="607">
        <v>5580.34</v>
      </c>
      <c r="AK122" s="148"/>
      <c r="AL122" s="148"/>
      <c r="AM122" s="148"/>
      <c r="AN122" s="607">
        <v>928.87</v>
      </c>
      <c r="AO122" s="607"/>
      <c r="AP122" s="148"/>
      <c r="AQ122" s="168">
        <v>0</v>
      </c>
      <c r="AR122" s="238">
        <v>30414.49</v>
      </c>
      <c r="AU122" s="633">
        <f t="shared" si="7"/>
        <v>0</v>
      </c>
      <c r="AX122" s="358">
        <v>116</v>
      </c>
      <c r="AY122" s="301" t="s">
        <v>263</v>
      </c>
      <c r="AZ122" s="139" t="s">
        <v>264</v>
      </c>
      <c r="BA122" s="633">
        <f t="shared" si="8"/>
        <v>0</v>
      </c>
      <c r="BC122" s="196">
        <v>116</v>
      </c>
      <c r="BD122" s="73" t="s">
        <v>263</v>
      </c>
      <c r="BE122" s="139" t="s">
        <v>264</v>
      </c>
      <c r="BF122" s="168">
        <v>0</v>
      </c>
      <c r="BG122" s="168">
        <v>27831.100000000002</v>
      </c>
    </row>
    <row r="123" spans="1:59">
      <c r="A123" s="139" t="s">
        <v>577</v>
      </c>
      <c r="B123" s="233" t="s">
        <v>576</v>
      </c>
      <c r="C123" s="233" t="str">
        <f t="shared" si="10"/>
        <v>31063 INDEX SCHOOL DISTRICT</v>
      </c>
      <c r="D123" s="607"/>
      <c r="E123" s="607"/>
      <c r="F123" s="607"/>
      <c r="G123" s="607"/>
      <c r="H123" s="607">
        <v>10238.89</v>
      </c>
      <c r="I123" s="607"/>
      <c r="J123" s="607">
        <v>12627.43</v>
      </c>
      <c r="K123" s="607"/>
      <c r="L123" s="607"/>
      <c r="M123" s="607">
        <v>83026.67</v>
      </c>
      <c r="N123" s="608">
        <v>0.2303</v>
      </c>
      <c r="O123" s="608">
        <v>0.4733</v>
      </c>
      <c r="P123" s="607"/>
      <c r="Q123" s="607"/>
      <c r="R123" s="607"/>
      <c r="S123" s="607"/>
      <c r="T123" s="607"/>
      <c r="U123" s="607"/>
      <c r="V123" s="607"/>
      <c r="W123" s="607"/>
      <c r="X123" s="607"/>
      <c r="Y123" s="607">
        <v>22.94</v>
      </c>
      <c r="Z123" s="607"/>
      <c r="AA123" s="607"/>
      <c r="AB123" s="607"/>
      <c r="AC123" s="607"/>
      <c r="AD123" s="607"/>
      <c r="AE123" s="607"/>
      <c r="AF123" s="148"/>
      <c r="AG123" s="148"/>
      <c r="AH123" s="148"/>
      <c r="AI123" s="607"/>
      <c r="AJ123" s="607"/>
      <c r="AK123" s="148"/>
      <c r="AL123" s="148"/>
      <c r="AM123" s="148"/>
      <c r="AN123" s="607"/>
      <c r="AO123" s="607"/>
      <c r="AP123" s="148"/>
      <c r="AQ123" s="168">
        <v>2541.5</v>
      </c>
      <c r="AR123" s="238">
        <v>6874.7300000000005</v>
      </c>
      <c r="AU123" s="633">
        <f t="shared" si="7"/>
        <v>0</v>
      </c>
      <c r="AX123" s="358">
        <v>117</v>
      </c>
      <c r="AY123" s="301" t="s">
        <v>576</v>
      </c>
      <c r="AZ123" s="139" t="s">
        <v>577</v>
      </c>
      <c r="BA123" s="633">
        <f t="shared" si="8"/>
        <v>0</v>
      </c>
      <c r="BC123" s="196">
        <v>117</v>
      </c>
      <c r="BD123" s="73" t="s">
        <v>576</v>
      </c>
      <c r="BE123" s="139" t="s">
        <v>577</v>
      </c>
      <c r="BF123" s="168">
        <v>2541.5</v>
      </c>
      <c r="BG123" s="168">
        <v>6982.35</v>
      </c>
    </row>
    <row r="124" spans="1:59">
      <c r="A124" s="600" t="s">
        <v>2626</v>
      </c>
      <c r="B124" s="233" t="s">
        <v>1378</v>
      </c>
      <c r="C124" s="233" t="str">
        <f t="shared" si="10"/>
        <v>32907 INNOVATION SPOKANE SCHOOL DISTRICT</v>
      </c>
      <c r="D124" s="607"/>
      <c r="E124" s="607"/>
      <c r="F124" s="607"/>
      <c r="G124" s="607">
        <v>418520.78</v>
      </c>
      <c r="H124" s="607">
        <v>71451.97</v>
      </c>
      <c r="I124" s="607">
        <v>74609.990000000005</v>
      </c>
      <c r="J124" s="607">
        <v>61567.07</v>
      </c>
      <c r="K124" s="607"/>
      <c r="L124" s="607">
        <v>5416.14</v>
      </c>
      <c r="M124" s="607"/>
      <c r="N124" s="608">
        <v>6.6799999999999998E-2</v>
      </c>
      <c r="O124" s="608">
        <v>0.27239999999999998</v>
      </c>
      <c r="P124" s="607"/>
      <c r="Q124" s="607"/>
      <c r="R124" s="607"/>
      <c r="S124" s="607"/>
      <c r="T124" s="607"/>
      <c r="U124" s="607"/>
      <c r="V124" s="607"/>
      <c r="W124" s="607"/>
      <c r="X124" s="607"/>
      <c r="Y124" s="607">
        <v>139.30000000000001</v>
      </c>
      <c r="Z124" s="607"/>
      <c r="AA124" s="607"/>
      <c r="AB124" s="607"/>
      <c r="AC124" s="607">
        <v>233238.36</v>
      </c>
      <c r="AD124" s="607">
        <v>22.56</v>
      </c>
      <c r="AE124" s="607">
        <v>212545.42</v>
      </c>
      <c r="AF124" s="148"/>
      <c r="AG124" s="148"/>
      <c r="AH124" s="148"/>
      <c r="AI124" s="607"/>
      <c r="AJ124" s="607"/>
      <c r="AK124" s="148"/>
      <c r="AL124" s="148"/>
      <c r="AM124" s="148"/>
      <c r="AN124" s="607"/>
      <c r="AO124" s="607"/>
      <c r="AP124" s="148"/>
      <c r="AQ124" s="168">
        <v>87205.650000000038</v>
      </c>
      <c r="AR124" s="238">
        <v>21774.65</v>
      </c>
      <c r="AU124" s="633">
        <f t="shared" si="7"/>
        <v>0</v>
      </c>
      <c r="AX124" s="358">
        <v>118</v>
      </c>
      <c r="AY124" s="311" t="s">
        <v>1378</v>
      </c>
      <c r="AZ124" s="600" t="s">
        <v>2626</v>
      </c>
      <c r="BA124" s="633">
        <f t="shared" si="8"/>
        <v>0</v>
      </c>
      <c r="BC124" s="196">
        <v>118</v>
      </c>
      <c r="BD124" s="73" t="s">
        <v>1378</v>
      </c>
      <c r="BE124" s="600" t="s">
        <v>2626</v>
      </c>
      <c r="BF124" s="168">
        <v>87205.650000000038</v>
      </c>
      <c r="BG124" s="168">
        <v>18463.07</v>
      </c>
    </row>
    <row r="125" spans="1:59">
      <c r="A125" s="139" t="s">
        <v>365</v>
      </c>
      <c r="B125" s="233" t="s">
        <v>364</v>
      </c>
      <c r="C125" s="233" t="str">
        <f t="shared" si="10"/>
        <v>17411 ISSAQUAH SCHOOL DISTRICT</v>
      </c>
      <c r="D125" s="607"/>
      <c r="E125" s="607"/>
      <c r="F125" s="607"/>
      <c r="G125" s="607">
        <v>31688689.59</v>
      </c>
      <c r="H125" s="607">
        <v>4535101.2699999996</v>
      </c>
      <c r="I125" s="607"/>
      <c r="J125" s="607">
        <v>2158651.79</v>
      </c>
      <c r="K125" s="607">
        <v>2960834.49</v>
      </c>
      <c r="L125" s="607">
        <v>667085.15</v>
      </c>
      <c r="M125" s="607">
        <v>13759255.609999999</v>
      </c>
      <c r="N125" s="608">
        <v>1.6799999999999999E-2</v>
      </c>
      <c r="O125" s="608">
        <v>0.1489</v>
      </c>
      <c r="P125" s="607"/>
      <c r="Q125" s="607"/>
      <c r="R125" s="607"/>
      <c r="S125" s="607">
        <v>2465396.25</v>
      </c>
      <c r="T125" s="607"/>
      <c r="U125" s="607">
        <v>81213.02</v>
      </c>
      <c r="V125" s="607"/>
      <c r="W125" s="607"/>
      <c r="X125" s="607"/>
      <c r="Y125" s="607">
        <v>14312.27</v>
      </c>
      <c r="Z125" s="607">
        <v>221.89</v>
      </c>
      <c r="AA125" s="607">
        <v>4215.99</v>
      </c>
      <c r="AB125" s="607">
        <v>539012.53</v>
      </c>
      <c r="AC125" s="607">
        <v>12082293.15</v>
      </c>
      <c r="AD125" s="607">
        <v>965.83</v>
      </c>
      <c r="AE125" s="607">
        <v>10211790.73</v>
      </c>
      <c r="AF125" s="148"/>
      <c r="AG125" s="148"/>
      <c r="AH125" s="148"/>
      <c r="AI125" s="607">
        <v>47.47</v>
      </c>
      <c r="AJ125" s="607">
        <v>493499.72</v>
      </c>
      <c r="AK125" s="148"/>
      <c r="AL125" s="148"/>
      <c r="AM125" s="148"/>
      <c r="AN125" s="607">
        <v>28124.84</v>
      </c>
      <c r="AO125" s="607"/>
      <c r="AP125" s="148"/>
      <c r="AQ125" s="168">
        <v>986824.08000000031</v>
      </c>
      <c r="AR125" s="238">
        <v>2056537.59</v>
      </c>
      <c r="AU125" s="633">
        <f t="shared" si="7"/>
        <v>0</v>
      </c>
      <c r="AX125" s="358">
        <v>119</v>
      </c>
      <c r="AY125" s="301" t="s">
        <v>364</v>
      </c>
      <c r="AZ125" s="139" t="s">
        <v>365</v>
      </c>
      <c r="BA125" s="633">
        <f t="shared" si="8"/>
        <v>0</v>
      </c>
      <c r="BC125" s="196">
        <v>119</v>
      </c>
      <c r="BD125" s="73" t="s">
        <v>364</v>
      </c>
      <c r="BE125" s="139" t="s">
        <v>365</v>
      </c>
      <c r="BF125" s="168">
        <v>986824.08000000031</v>
      </c>
      <c r="BG125" s="168">
        <v>1883218</v>
      </c>
    </row>
    <row r="126" spans="1:59">
      <c r="A126" s="139" t="s">
        <v>274</v>
      </c>
      <c r="B126" s="233" t="s">
        <v>273</v>
      </c>
      <c r="C126" s="233" t="str">
        <f t="shared" si="10"/>
        <v>11056 KAHLOTUS SCHOOL DISTRICT</v>
      </c>
      <c r="D126" s="607"/>
      <c r="E126" s="607"/>
      <c r="F126" s="607"/>
      <c r="G126" s="607"/>
      <c r="H126" s="607">
        <v>13590.1</v>
      </c>
      <c r="I126" s="607">
        <v>17685.330000000002</v>
      </c>
      <c r="J126" s="607">
        <v>28075.47</v>
      </c>
      <c r="K126" s="607"/>
      <c r="L126" s="607">
        <v>1215.8599999999999</v>
      </c>
      <c r="M126" s="607">
        <v>87831.55</v>
      </c>
      <c r="N126" s="608">
        <v>6.3200000000000006E-2</v>
      </c>
      <c r="O126" s="608">
        <v>0.40210000000000001</v>
      </c>
      <c r="P126" s="607"/>
      <c r="Q126" s="607"/>
      <c r="R126" s="607"/>
      <c r="S126" s="607"/>
      <c r="T126" s="607"/>
      <c r="U126" s="607"/>
      <c r="V126" s="607"/>
      <c r="W126" s="607"/>
      <c r="X126" s="607"/>
      <c r="Y126" s="607"/>
      <c r="Z126" s="607"/>
      <c r="AA126" s="607"/>
      <c r="AB126" s="607">
        <v>6507.99</v>
      </c>
      <c r="AC126" s="607">
        <v>18578.810000000001</v>
      </c>
      <c r="AD126" s="607">
        <v>1.91</v>
      </c>
      <c r="AE126" s="607">
        <v>18078.55</v>
      </c>
      <c r="AF126" s="148"/>
      <c r="AG126" s="148"/>
      <c r="AH126" s="148"/>
      <c r="AI126" s="607">
        <v>0.66</v>
      </c>
      <c r="AJ126" s="607">
        <v>6221.87</v>
      </c>
      <c r="AK126" s="148"/>
      <c r="AL126" s="148"/>
      <c r="AM126" s="148"/>
      <c r="AN126" s="607"/>
      <c r="AO126" s="607">
        <v>54.86</v>
      </c>
      <c r="AP126" s="148"/>
      <c r="AQ126" s="168">
        <v>5511.3400000000038</v>
      </c>
      <c r="AR126" s="238">
        <v>20230.019999999997</v>
      </c>
      <c r="AU126" s="633">
        <f t="shared" si="7"/>
        <v>0</v>
      </c>
      <c r="AX126" s="358">
        <v>120</v>
      </c>
      <c r="AY126" s="301" t="s">
        <v>273</v>
      </c>
      <c r="AZ126" s="139" t="s">
        <v>274</v>
      </c>
      <c r="BA126" s="633">
        <f t="shared" si="8"/>
        <v>0</v>
      </c>
      <c r="BC126" s="196">
        <v>120</v>
      </c>
      <c r="BD126" s="73" t="s">
        <v>273</v>
      </c>
      <c r="BE126" s="139" t="s">
        <v>274</v>
      </c>
      <c r="BF126" s="168">
        <v>5511.3400000000038</v>
      </c>
      <c r="BG126" s="168">
        <v>20317.319999999996</v>
      </c>
    </row>
    <row r="127" spans="1:59">
      <c r="A127" s="139" t="s">
        <v>240</v>
      </c>
      <c r="B127" s="233" t="s">
        <v>239</v>
      </c>
      <c r="C127" s="233" t="str">
        <f t="shared" si="10"/>
        <v>08402 KALAMA SCHOOL DISTRICT</v>
      </c>
      <c r="D127" s="607"/>
      <c r="E127" s="607">
        <v>27885.78</v>
      </c>
      <c r="F127" s="607"/>
      <c r="G127" s="607"/>
      <c r="H127" s="607">
        <v>409735.37</v>
      </c>
      <c r="I127" s="607"/>
      <c r="J127" s="607">
        <v>295676.64</v>
      </c>
      <c r="K127" s="607">
        <v>45456.32</v>
      </c>
      <c r="L127" s="607">
        <v>36144.400000000001</v>
      </c>
      <c r="M127" s="607"/>
      <c r="N127" s="608">
        <v>5.5500000000000001E-2</v>
      </c>
      <c r="O127" s="608">
        <v>0.20150000000000001</v>
      </c>
      <c r="P127" s="607"/>
      <c r="Q127" s="607"/>
      <c r="R127" s="607"/>
      <c r="S127" s="607"/>
      <c r="T127" s="607"/>
      <c r="U127" s="607"/>
      <c r="V127" s="607"/>
      <c r="W127" s="607"/>
      <c r="X127" s="607"/>
      <c r="Y127" s="607">
        <v>984.91</v>
      </c>
      <c r="Z127" s="607"/>
      <c r="AA127" s="607"/>
      <c r="AB127" s="607">
        <v>65867.02</v>
      </c>
      <c r="AC127" s="607">
        <v>388977.7</v>
      </c>
      <c r="AD127" s="607">
        <v>36.409999999999997</v>
      </c>
      <c r="AE127" s="607">
        <v>343012.91</v>
      </c>
      <c r="AF127" s="148"/>
      <c r="AG127" s="148"/>
      <c r="AH127" s="148"/>
      <c r="AI127" s="607">
        <v>6.75</v>
      </c>
      <c r="AJ127" s="607">
        <v>62361.04</v>
      </c>
      <c r="AK127" s="148"/>
      <c r="AL127" s="148"/>
      <c r="AM127" s="148"/>
      <c r="AN127" s="607"/>
      <c r="AO127" s="607"/>
      <c r="AP127" s="148"/>
      <c r="AQ127" s="168">
        <v>88661.23</v>
      </c>
      <c r="AR127" s="238">
        <v>101894.73000000001</v>
      </c>
      <c r="AU127" s="633">
        <f t="shared" si="7"/>
        <v>0</v>
      </c>
      <c r="AX127" s="358">
        <v>121</v>
      </c>
      <c r="AY127" s="301" t="s">
        <v>239</v>
      </c>
      <c r="AZ127" s="139" t="s">
        <v>240</v>
      </c>
      <c r="BA127" s="633">
        <f t="shared" si="8"/>
        <v>0</v>
      </c>
      <c r="BC127" s="196">
        <v>121</v>
      </c>
      <c r="BD127" s="73" t="s">
        <v>239</v>
      </c>
      <c r="BE127" s="139" t="s">
        <v>240</v>
      </c>
      <c r="BF127" s="168">
        <v>88661.23</v>
      </c>
      <c r="BG127" s="168">
        <v>101983.50000000001</v>
      </c>
    </row>
    <row r="128" spans="1:59">
      <c r="A128" s="139" t="s">
        <v>258</v>
      </c>
      <c r="B128" s="233" t="s">
        <v>257</v>
      </c>
      <c r="C128" s="233" t="str">
        <f t="shared" si="10"/>
        <v>10003 KELLER SCHOOL DISTRICT</v>
      </c>
      <c r="D128" s="607"/>
      <c r="E128" s="607"/>
      <c r="F128" s="607"/>
      <c r="G128" s="607">
        <v>44644.37</v>
      </c>
      <c r="H128" s="607">
        <v>5697.3</v>
      </c>
      <c r="I128" s="607">
        <v>12158.67</v>
      </c>
      <c r="J128" s="607">
        <v>22990.93</v>
      </c>
      <c r="K128" s="607"/>
      <c r="L128" s="607">
        <v>552.66999999999996</v>
      </c>
      <c r="M128" s="607">
        <v>257590.25</v>
      </c>
      <c r="N128" s="608">
        <v>7.3800000000000004E-2</v>
      </c>
      <c r="O128" s="608">
        <v>0.4264</v>
      </c>
      <c r="P128" s="607"/>
      <c r="Q128" s="607"/>
      <c r="R128" s="607"/>
      <c r="S128" s="607"/>
      <c r="T128" s="607"/>
      <c r="U128" s="607"/>
      <c r="V128" s="607"/>
      <c r="W128" s="607"/>
      <c r="X128" s="607"/>
      <c r="Y128" s="607">
        <v>13.11</v>
      </c>
      <c r="Z128" s="607"/>
      <c r="AA128" s="607"/>
      <c r="AB128" s="607"/>
      <c r="AC128" s="607"/>
      <c r="AD128" s="607"/>
      <c r="AE128" s="607"/>
      <c r="AF128" s="148"/>
      <c r="AG128" s="148"/>
      <c r="AH128" s="148"/>
      <c r="AI128" s="607"/>
      <c r="AJ128" s="607"/>
      <c r="AK128" s="148"/>
      <c r="AL128" s="148"/>
      <c r="AM128" s="148"/>
      <c r="AN128" s="607">
        <v>231</v>
      </c>
      <c r="AO128" s="607"/>
      <c r="AP128" s="148"/>
      <c r="AQ128" s="168">
        <v>12923.660000000002</v>
      </c>
      <c r="AR128" s="238">
        <v>4458.1400000000003</v>
      </c>
      <c r="AU128" s="633">
        <f t="shared" si="7"/>
        <v>0</v>
      </c>
      <c r="AX128" s="358">
        <v>122</v>
      </c>
      <c r="AY128" s="301" t="s">
        <v>257</v>
      </c>
      <c r="AZ128" s="139" t="s">
        <v>258</v>
      </c>
      <c r="BA128" s="633">
        <f t="shared" si="8"/>
        <v>0</v>
      </c>
      <c r="BC128" s="196">
        <v>122</v>
      </c>
      <c r="BD128" s="73" t="s">
        <v>257</v>
      </c>
      <c r="BE128" s="139" t="s">
        <v>258</v>
      </c>
      <c r="BF128" s="168">
        <v>12923.660000000002</v>
      </c>
      <c r="BG128" s="168">
        <v>4156.83</v>
      </c>
    </row>
    <row r="129" spans="1:59">
      <c r="A129" s="139" t="s">
        <v>244</v>
      </c>
      <c r="B129" s="233" t="s">
        <v>243</v>
      </c>
      <c r="C129" s="233" t="str">
        <f t="shared" si="10"/>
        <v>08458 KELSO SCHOOL DISTRICT</v>
      </c>
      <c r="D129" s="607"/>
      <c r="E129" s="607">
        <v>157169.47</v>
      </c>
      <c r="F129" s="607">
        <v>115309.84</v>
      </c>
      <c r="G129" s="607">
        <v>12662825.720000001</v>
      </c>
      <c r="H129" s="607">
        <v>1870705.71</v>
      </c>
      <c r="I129" s="607">
        <v>1534313.06</v>
      </c>
      <c r="J129" s="607">
        <v>2174190.48</v>
      </c>
      <c r="K129" s="607">
        <v>604558.16</v>
      </c>
      <c r="L129" s="607">
        <v>155409.85</v>
      </c>
      <c r="M129" s="607">
        <v>3039859.84</v>
      </c>
      <c r="N129" s="608">
        <v>3.9699999999999999E-2</v>
      </c>
      <c r="O129" s="608">
        <v>0.16489999999999999</v>
      </c>
      <c r="P129" s="607"/>
      <c r="Q129" s="607"/>
      <c r="R129" s="607"/>
      <c r="S129" s="607"/>
      <c r="T129" s="607"/>
      <c r="U129" s="607"/>
      <c r="V129" s="607"/>
      <c r="W129" s="607"/>
      <c r="X129" s="607"/>
      <c r="Y129" s="607">
        <v>3447.99</v>
      </c>
      <c r="Z129" s="607">
        <v>54458.21</v>
      </c>
      <c r="AA129" s="607">
        <v>124680.64</v>
      </c>
      <c r="AB129" s="607">
        <v>821711.7</v>
      </c>
      <c r="AC129" s="607">
        <v>4098822.67</v>
      </c>
      <c r="AD129" s="607">
        <v>407.11</v>
      </c>
      <c r="AE129" s="607">
        <v>3834590.99</v>
      </c>
      <c r="AF129" s="148"/>
      <c r="AG129" s="148"/>
      <c r="AH129" s="148"/>
      <c r="AI129" s="607">
        <v>83.3</v>
      </c>
      <c r="AJ129" s="607">
        <v>769648.56</v>
      </c>
      <c r="AK129" s="148"/>
      <c r="AL129" s="148"/>
      <c r="AM129" s="148"/>
      <c r="AN129" s="607"/>
      <c r="AO129" s="607"/>
      <c r="AP129" s="148"/>
      <c r="AQ129" s="168">
        <v>0</v>
      </c>
      <c r="AR129" s="238">
        <v>558949.40999999992</v>
      </c>
      <c r="AU129" s="633">
        <f t="shared" si="7"/>
        <v>0</v>
      </c>
      <c r="AX129" s="358">
        <v>123</v>
      </c>
      <c r="AY129" s="301" t="s">
        <v>243</v>
      </c>
      <c r="AZ129" s="139" t="s">
        <v>244</v>
      </c>
      <c r="BA129" s="633">
        <f t="shared" si="8"/>
        <v>0</v>
      </c>
      <c r="BC129" s="196">
        <v>123</v>
      </c>
      <c r="BD129" s="73" t="s">
        <v>243</v>
      </c>
      <c r="BE129" s="139" t="s">
        <v>244</v>
      </c>
      <c r="BF129" s="168">
        <v>0</v>
      </c>
      <c r="BG129" s="168">
        <v>483123.82999999996</v>
      </c>
    </row>
    <row r="130" spans="1:59">
      <c r="A130" s="139" t="s">
        <v>178</v>
      </c>
      <c r="B130" s="233" t="s">
        <v>177</v>
      </c>
      <c r="C130" s="233" t="str">
        <f t="shared" si="10"/>
        <v>03017 KENNEWICK SCHOOL DISTRICT</v>
      </c>
      <c r="D130" s="607"/>
      <c r="E130" s="607">
        <v>456187.17</v>
      </c>
      <c r="F130" s="607">
        <v>171299.77</v>
      </c>
      <c r="G130" s="607">
        <v>31602012.75</v>
      </c>
      <c r="H130" s="607">
        <v>5568644.0800000001</v>
      </c>
      <c r="I130" s="607">
        <v>4182359.9</v>
      </c>
      <c r="J130" s="607">
        <v>7830070.1200000001</v>
      </c>
      <c r="K130" s="607">
        <v>6026832.2800000003</v>
      </c>
      <c r="L130" s="607">
        <v>588811.02</v>
      </c>
      <c r="M130" s="607">
        <v>11603322.890000001</v>
      </c>
      <c r="N130" s="608">
        <v>3.2899999999999999E-2</v>
      </c>
      <c r="O130" s="608">
        <v>0.11169999999999999</v>
      </c>
      <c r="P130" s="607"/>
      <c r="Q130" s="607"/>
      <c r="R130" s="607"/>
      <c r="S130" s="607">
        <v>442309.69</v>
      </c>
      <c r="T130" s="607"/>
      <c r="U130" s="607">
        <v>14156.13</v>
      </c>
      <c r="V130" s="607"/>
      <c r="W130" s="607"/>
      <c r="X130" s="607"/>
      <c r="Y130" s="607">
        <v>12575.16</v>
      </c>
      <c r="Z130" s="607"/>
      <c r="AA130" s="607">
        <v>301281.61</v>
      </c>
      <c r="AB130" s="607">
        <v>1377270.84</v>
      </c>
      <c r="AC130" s="607">
        <v>9426366.0899999999</v>
      </c>
      <c r="AD130" s="607">
        <v>903.67</v>
      </c>
      <c r="AE130" s="607">
        <v>8511961.6400000006</v>
      </c>
      <c r="AF130" s="148"/>
      <c r="AG130" s="148"/>
      <c r="AH130" s="148"/>
      <c r="AI130" s="607">
        <v>138.62</v>
      </c>
      <c r="AJ130" s="607">
        <v>1280560.53</v>
      </c>
      <c r="AK130" s="148"/>
      <c r="AL130" s="148"/>
      <c r="AM130" s="148"/>
      <c r="AN130" s="607"/>
      <c r="AO130" s="607"/>
      <c r="AP130" s="148"/>
      <c r="AQ130" s="168">
        <v>297885.47000000253</v>
      </c>
      <c r="AR130" s="238">
        <v>2065070.3900000006</v>
      </c>
      <c r="AU130" s="633">
        <f t="shared" si="7"/>
        <v>0</v>
      </c>
      <c r="AX130" s="358">
        <v>124</v>
      </c>
      <c r="AY130" s="301" t="s">
        <v>177</v>
      </c>
      <c r="AZ130" s="139" t="s">
        <v>178</v>
      </c>
      <c r="BA130" s="633">
        <f t="shared" si="8"/>
        <v>0</v>
      </c>
      <c r="BC130" s="196">
        <v>124</v>
      </c>
      <c r="BD130" s="73" t="s">
        <v>177</v>
      </c>
      <c r="BE130" s="139" t="s">
        <v>178</v>
      </c>
      <c r="BF130" s="168">
        <v>297885.47000000253</v>
      </c>
      <c r="BG130" s="168">
        <v>1811401.8700000006</v>
      </c>
    </row>
    <row r="131" spans="1:59">
      <c r="A131" s="139" t="s">
        <v>371</v>
      </c>
      <c r="B131" s="233" t="s">
        <v>370</v>
      </c>
      <c r="C131" s="233" t="str">
        <f t="shared" si="10"/>
        <v>17415 KENT SCHOOL DISTRICT</v>
      </c>
      <c r="D131" s="607"/>
      <c r="E131" s="607">
        <v>765678.07</v>
      </c>
      <c r="F131" s="607">
        <v>249513.88</v>
      </c>
      <c r="G131" s="607">
        <v>67091152.259999998</v>
      </c>
      <c r="H131" s="607">
        <v>9046931.7699999996</v>
      </c>
      <c r="I131" s="607">
        <v>4642427.88</v>
      </c>
      <c r="J131" s="607">
        <v>11625265.9</v>
      </c>
      <c r="K131" s="607">
        <v>15821306.82</v>
      </c>
      <c r="L131" s="607">
        <v>911597.98</v>
      </c>
      <c r="M131" s="607">
        <v>18151871.059999999</v>
      </c>
      <c r="N131" s="608">
        <v>3.85E-2</v>
      </c>
      <c r="O131" s="608">
        <v>0.1406</v>
      </c>
      <c r="P131" s="607"/>
      <c r="Q131" s="607"/>
      <c r="R131" s="607"/>
      <c r="S131" s="607"/>
      <c r="T131" s="607"/>
      <c r="U131" s="607"/>
      <c r="V131" s="607"/>
      <c r="W131" s="607"/>
      <c r="X131" s="607"/>
      <c r="Y131" s="607">
        <v>20687.93</v>
      </c>
      <c r="Z131" s="607"/>
      <c r="AA131" s="607">
        <v>1899226.46</v>
      </c>
      <c r="AB131" s="607">
        <v>3323640.87</v>
      </c>
      <c r="AC131" s="607">
        <v>19847156.699999999</v>
      </c>
      <c r="AD131" s="607">
        <v>1674.55</v>
      </c>
      <c r="AE131" s="607">
        <v>17705431.620000001</v>
      </c>
      <c r="AF131" s="148"/>
      <c r="AG131" s="148"/>
      <c r="AH131" s="148"/>
      <c r="AI131" s="607">
        <v>299.37</v>
      </c>
      <c r="AJ131" s="607">
        <v>3112249.99</v>
      </c>
      <c r="AK131" s="148"/>
      <c r="AL131" s="148"/>
      <c r="AM131" s="148"/>
      <c r="AN131" s="607"/>
      <c r="AO131" s="607"/>
      <c r="AP131" s="148"/>
      <c r="AQ131" s="168">
        <v>428562.10000000335</v>
      </c>
      <c r="AR131" s="238">
        <v>3277360.77</v>
      </c>
      <c r="AU131" s="633">
        <f t="shared" si="7"/>
        <v>0</v>
      </c>
      <c r="AX131" s="358">
        <v>125</v>
      </c>
      <c r="AY131" s="301" t="s">
        <v>370</v>
      </c>
      <c r="AZ131" s="139" t="s">
        <v>371</v>
      </c>
      <c r="BA131" s="633">
        <f t="shared" si="8"/>
        <v>0</v>
      </c>
      <c r="BC131" s="196">
        <v>125</v>
      </c>
      <c r="BD131" s="73" t="s">
        <v>370</v>
      </c>
      <c r="BE131" s="139" t="s">
        <v>371</v>
      </c>
      <c r="BF131" s="168">
        <v>428562.10000000335</v>
      </c>
      <c r="BG131" s="168">
        <v>2927957.57</v>
      </c>
    </row>
    <row r="132" spans="1:59">
      <c r="A132" s="139" t="s">
        <v>639</v>
      </c>
      <c r="B132" s="233" t="s">
        <v>638</v>
      </c>
      <c r="C132" s="233" t="str">
        <f t="shared" si="10"/>
        <v>33212 KETTLE FALLS SCHOOL DISTRICT</v>
      </c>
      <c r="D132" s="607"/>
      <c r="E132" s="607">
        <v>40683.519999999997</v>
      </c>
      <c r="F132" s="607"/>
      <c r="G132" s="607">
        <v>1811446.85</v>
      </c>
      <c r="H132" s="607">
        <v>305401.33</v>
      </c>
      <c r="I132" s="607">
        <v>218524.37</v>
      </c>
      <c r="J132" s="607">
        <v>412510.36</v>
      </c>
      <c r="K132" s="607"/>
      <c r="L132" s="607">
        <v>33933.74</v>
      </c>
      <c r="M132" s="607">
        <v>883957.41</v>
      </c>
      <c r="N132" s="608">
        <v>4.4499999999999998E-2</v>
      </c>
      <c r="O132" s="608">
        <v>0.23069999999999999</v>
      </c>
      <c r="P132" s="607"/>
      <c r="Q132" s="607"/>
      <c r="R132" s="607"/>
      <c r="S132" s="607"/>
      <c r="T132" s="607"/>
      <c r="U132" s="607"/>
      <c r="V132" s="607"/>
      <c r="W132" s="607"/>
      <c r="X132" s="607"/>
      <c r="Y132" s="607"/>
      <c r="Z132" s="607"/>
      <c r="AA132" s="607"/>
      <c r="AB132" s="607"/>
      <c r="AC132" s="607">
        <v>647063.07999999996</v>
      </c>
      <c r="AD132" s="607">
        <v>55.18</v>
      </c>
      <c r="AE132" s="607">
        <v>519786.18</v>
      </c>
      <c r="AF132" s="148"/>
      <c r="AG132" s="148"/>
      <c r="AH132" s="148"/>
      <c r="AI132" s="607"/>
      <c r="AJ132" s="607"/>
      <c r="AK132" s="148"/>
      <c r="AL132" s="148"/>
      <c r="AM132" s="148"/>
      <c r="AN132" s="607"/>
      <c r="AO132" s="607"/>
      <c r="AP132" s="148"/>
      <c r="AQ132" s="168">
        <v>19999.559999999983</v>
      </c>
      <c r="AR132" s="238">
        <v>79428.98000000001</v>
      </c>
      <c r="AU132" s="633">
        <f t="shared" si="7"/>
        <v>0</v>
      </c>
      <c r="AX132" s="358">
        <v>126</v>
      </c>
      <c r="AY132" s="301" t="s">
        <v>638</v>
      </c>
      <c r="AZ132" s="139" t="s">
        <v>639</v>
      </c>
      <c r="BA132" s="633">
        <f t="shared" si="8"/>
        <v>0</v>
      </c>
      <c r="BC132" s="196">
        <v>126</v>
      </c>
      <c r="BD132" s="73" t="s">
        <v>638</v>
      </c>
      <c r="BE132" s="139" t="s">
        <v>639</v>
      </c>
      <c r="BF132" s="168">
        <v>19999.559999999983</v>
      </c>
      <c r="BG132" s="168">
        <v>64296.83</v>
      </c>
    </row>
    <row r="133" spans="1:59">
      <c r="A133" s="139" t="s">
        <v>182</v>
      </c>
      <c r="B133" s="233" t="s">
        <v>181</v>
      </c>
      <c r="C133" s="233" t="str">
        <f t="shared" si="10"/>
        <v>03052 KIONA BENTON SCHOOL DISTRICT</v>
      </c>
      <c r="D133" s="607"/>
      <c r="E133" s="607">
        <v>67644.41</v>
      </c>
      <c r="F133" s="607">
        <v>44677.01</v>
      </c>
      <c r="G133" s="607">
        <v>2431285.15</v>
      </c>
      <c r="H133" s="607">
        <v>408021.5</v>
      </c>
      <c r="I133" s="607">
        <v>444493.41</v>
      </c>
      <c r="J133" s="607">
        <v>683255.76</v>
      </c>
      <c r="K133" s="607">
        <v>610817.59</v>
      </c>
      <c r="L133" s="607">
        <v>41489.1</v>
      </c>
      <c r="M133" s="607">
        <v>845841.22</v>
      </c>
      <c r="N133" s="608">
        <v>5.5300000000000002E-2</v>
      </c>
      <c r="O133" s="608">
        <v>0.20050000000000001</v>
      </c>
      <c r="P133" s="607"/>
      <c r="Q133" s="607"/>
      <c r="R133" s="607"/>
      <c r="S133" s="607"/>
      <c r="T133" s="607"/>
      <c r="U133" s="607"/>
      <c r="V133" s="607"/>
      <c r="W133" s="607"/>
      <c r="X133" s="607"/>
      <c r="Y133" s="607">
        <v>1116.01</v>
      </c>
      <c r="Z133" s="607"/>
      <c r="AA133" s="607">
        <v>13542.07</v>
      </c>
      <c r="AB133" s="607">
        <v>126810.67</v>
      </c>
      <c r="AC133" s="607">
        <v>952063.97</v>
      </c>
      <c r="AD133" s="607">
        <v>92.32</v>
      </c>
      <c r="AE133" s="607">
        <v>886843.04</v>
      </c>
      <c r="AF133" s="148"/>
      <c r="AG133" s="148"/>
      <c r="AH133" s="148"/>
      <c r="AI133" s="607">
        <v>12.72</v>
      </c>
      <c r="AJ133" s="607">
        <v>119973.1</v>
      </c>
      <c r="AK133" s="148"/>
      <c r="AL133" s="148"/>
      <c r="AM133" s="148"/>
      <c r="AN133" s="607"/>
      <c r="AO133" s="607"/>
      <c r="AP133" s="148"/>
      <c r="AQ133" s="168">
        <v>22863.240000000078</v>
      </c>
      <c r="AR133" s="238">
        <v>160092.49999999997</v>
      </c>
      <c r="AU133" s="633">
        <f t="shared" si="7"/>
        <v>0</v>
      </c>
      <c r="AX133" s="358">
        <v>127</v>
      </c>
      <c r="AY133" s="301" t="s">
        <v>181</v>
      </c>
      <c r="AZ133" s="139" t="s">
        <v>182</v>
      </c>
      <c r="BA133" s="633">
        <f t="shared" si="8"/>
        <v>0</v>
      </c>
      <c r="BC133" s="196">
        <v>127</v>
      </c>
      <c r="BD133" s="73" t="s">
        <v>181</v>
      </c>
      <c r="BE133" s="139" t="s">
        <v>182</v>
      </c>
      <c r="BF133" s="168">
        <v>22863.240000000078</v>
      </c>
      <c r="BG133" s="168">
        <v>139031.72999999998</v>
      </c>
    </row>
    <row r="134" spans="1:59">
      <c r="A134" s="139" t="s">
        <v>393</v>
      </c>
      <c r="B134" s="233" t="s">
        <v>392</v>
      </c>
      <c r="C134" s="233" t="str">
        <f t="shared" si="10"/>
        <v>19403 KITTITAS SCHOOL DISTRICT</v>
      </c>
      <c r="D134" s="607"/>
      <c r="E134" s="607">
        <v>3068.86</v>
      </c>
      <c r="F134" s="607"/>
      <c r="G134" s="607">
        <v>1026475.37</v>
      </c>
      <c r="H134" s="607">
        <v>157779.71</v>
      </c>
      <c r="I134" s="607">
        <v>103901.32</v>
      </c>
      <c r="J134" s="607">
        <v>208134.24</v>
      </c>
      <c r="K134" s="607">
        <v>82955.05</v>
      </c>
      <c r="L134" s="607">
        <v>17464.259999999998</v>
      </c>
      <c r="M134" s="607">
        <v>420646.95</v>
      </c>
      <c r="N134" s="608">
        <v>7.9799999999999996E-2</v>
      </c>
      <c r="O134" s="608">
        <v>0.39800000000000002</v>
      </c>
      <c r="P134" s="607"/>
      <c r="Q134" s="607"/>
      <c r="R134" s="607"/>
      <c r="S134" s="607">
        <v>199446.06</v>
      </c>
      <c r="T134" s="607">
        <v>19510.03</v>
      </c>
      <c r="U134" s="607">
        <v>6219.5</v>
      </c>
      <c r="V134" s="607"/>
      <c r="W134" s="607"/>
      <c r="X134" s="607"/>
      <c r="Y134" s="607">
        <v>454.76</v>
      </c>
      <c r="Z134" s="607"/>
      <c r="AA134" s="607"/>
      <c r="AB134" s="607">
        <v>112346.04</v>
      </c>
      <c r="AC134" s="607">
        <v>399164.66</v>
      </c>
      <c r="AD134" s="607">
        <v>40.909999999999997</v>
      </c>
      <c r="AE134" s="607">
        <v>385296.71</v>
      </c>
      <c r="AF134" s="148"/>
      <c r="AG134" s="148"/>
      <c r="AH134" s="148"/>
      <c r="AI134" s="607">
        <v>11.5</v>
      </c>
      <c r="AJ134" s="607">
        <v>106249.87</v>
      </c>
      <c r="AK134" s="148"/>
      <c r="AL134" s="148"/>
      <c r="AM134" s="148"/>
      <c r="AN134" s="607"/>
      <c r="AO134" s="607">
        <v>90000</v>
      </c>
      <c r="AP134" s="148"/>
      <c r="AQ134" s="168">
        <v>77946.820000000007</v>
      </c>
      <c r="AR134" s="238">
        <v>67444.17</v>
      </c>
      <c r="AU134" s="633">
        <f t="shared" si="7"/>
        <v>0</v>
      </c>
      <c r="AX134" s="358">
        <v>128</v>
      </c>
      <c r="AY134" s="301" t="s">
        <v>392</v>
      </c>
      <c r="AZ134" s="139" t="s">
        <v>393</v>
      </c>
      <c r="BA134" s="633">
        <f t="shared" si="8"/>
        <v>0</v>
      </c>
      <c r="BC134" s="196">
        <v>128</v>
      </c>
      <c r="BD134" s="73" t="s">
        <v>392</v>
      </c>
      <c r="BE134" s="139" t="s">
        <v>393</v>
      </c>
      <c r="BF134" s="168">
        <v>77946.820000000007</v>
      </c>
      <c r="BG134" s="168">
        <v>58704.889999999992</v>
      </c>
    </row>
    <row r="135" spans="1:59">
      <c r="A135" s="139" t="s">
        <v>407</v>
      </c>
      <c r="B135" s="233" t="s">
        <v>406</v>
      </c>
      <c r="C135" s="233" t="str">
        <f t="shared" si="10"/>
        <v>20402 KLICKITAT SCHOOL DISTRICT</v>
      </c>
      <c r="D135" s="607"/>
      <c r="E135" s="607"/>
      <c r="F135" s="607"/>
      <c r="G135" s="607"/>
      <c r="H135" s="607">
        <v>22587.63</v>
      </c>
      <c r="I135" s="607"/>
      <c r="J135" s="607">
        <v>28802.36</v>
      </c>
      <c r="K135" s="607"/>
      <c r="L135" s="607">
        <v>2400.19</v>
      </c>
      <c r="M135" s="607"/>
      <c r="N135" s="608">
        <v>0.10489999999999999</v>
      </c>
      <c r="O135" s="608">
        <v>0.37309999999999999</v>
      </c>
      <c r="P135" s="607"/>
      <c r="Q135" s="607"/>
      <c r="R135" s="607"/>
      <c r="S135" s="607"/>
      <c r="T135" s="607"/>
      <c r="U135" s="607"/>
      <c r="V135" s="607"/>
      <c r="W135" s="607"/>
      <c r="X135" s="607"/>
      <c r="Y135" s="607">
        <v>61.45</v>
      </c>
      <c r="Z135" s="607"/>
      <c r="AA135" s="607"/>
      <c r="AB135" s="607"/>
      <c r="AC135" s="607"/>
      <c r="AD135" s="607"/>
      <c r="AE135" s="607"/>
      <c r="AF135" s="148"/>
      <c r="AG135" s="148"/>
      <c r="AH135" s="148"/>
      <c r="AI135" s="607"/>
      <c r="AJ135" s="607"/>
      <c r="AK135" s="148"/>
      <c r="AL135" s="148"/>
      <c r="AM135" s="148"/>
      <c r="AN135" s="607"/>
      <c r="AO135" s="607"/>
      <c r="AP135" s="148"/>
      <c r="AQ135" s="168">
        <v>32433.409999999996</v>
      </c>
      <c r="AR135" s="238">
        <v>20766.659999999996</v>
      </c>
      <c r="AU135" s="633">
        <f t="shared" si="7"/>
        <v>0</v>
      </c>
      <c r="AX135" s="358">
        <v>129</v>
      </c>
      <c r="AY135" s="301" t="s">
        <v>406</v>
      </c>
      <c r="AZ135" s="139" t="s">
        <v>407</v>
      </c>
      <c r="BA135" s="633">
        <f t="shared" si="8"/>
        <v>0</v>
      </c>
      <c r="BC135" s="196">
        <v>129</v>
      </c>
      <c r="BD135" s="73" t="s">
        <v>406</v>
      </c>
      <c r="BE135" s="139" t="s">
        <v>407</v>
      </c>
      <c r="BF135" s="168">
        <v>32433.409999999996</v>
      </c>
      <c r="BG135" s="168">
        <v>20860.279999999995</v>
      </c>
    </row>
    <row r="136" spans="1:59">
      <c r="A136" s="139" t="s">
        <v>551</v>
      </c>
      <c r="B136" s="233" t="s">
        <v>550</v>
      </c>
      <c r="C136" s="233" t="str">
        <f t="shared" si="10"/>
        <v>29311 LA CONNER SCHOOL DISTRICT</v>
      </c>
      <c r="D136" s="607"/>
      <c r="E136" s="607">
        <v>17854.330000000002</v>
      </c>
      <c r="F136" s="607">
        <v>15659.43</v>
      </c>
      <c r="G136" s="607">
        <v>1854280.28</v>
      </c>
      <c r="H136" s="607">
        <v>226309.29</v>
      </c>
      <c r="I136" s="607">
        <v>168556.72</v>
      </c>
      <c r="J136" s="607">
        <v>230714.31</v>
      </c>
      <c r="K136" s="607">
        <v>33895.19</v>
      </c>
      <c r="L136" s="607">
        <v>16331.6</v>
      </c>
      <c r="M136" s="607">
        <v>416898.6</v>
      </c>
      <c r="N136" s="608">
        <v>7.9699999999999993E-2</v>
      </c>
      <c r="O136" s="608">
        <v>0.2331</v>
      </c>
      <c r="P136" s="607"/>
      <c r="Q136" s="607"/>
      <c r="R136" s="607"/>
      <c r="S136" s="607"/>
      <c r="T136" s="607"/>
      <c r="U136" s="607"/>
      <c r="V136" s="607"/>
      <c r="W136" s="607"/>
      <c r="X136" s="607"/>
      <c r="Y136" s="607"/>
      <c r="Z136" s="607">
        <v>6122.86</v>
      </c>
      <c r="AA136" s="607">
        <v>17888.37</v>
      </c>
      <c r="AB136" s="607">
        <v>71292.66</v>
      </c>
      <c r="AC136" s="607">
        <v>224651.48</v>
      </c>
      <c r="AD136" s="607">
        <v>21.19</v>
      </c>
      <c r="AE136" s="607">
        <v>215917.39</v>
      </c>
      <c r="AF136" s="148"/>
      <c r="AG136" s="148"/>
      <c r="AH136" s="148"/>
      <c r="AI136" s="607">
        <v>6.74</v>
      </c>
      <c r="AJ136" s="607">
        <v>67309.710000000006</v>
      </c>
      <c r="AK136" s="148"/>
      <c r="AL136" s="148"/>
      <c r="AM136" s="148"/>
      <c r="AN136" s="607"/>
      <c r="AO136" s="607"/>
      <c r="AP136" s="148"/>
      <c r="AQ136" s="168">
        <v>0</v>
      </c>
      <c r="AR136" s="238">
        <v>61578.29</v>
      </c>
      <c r="AU136" s="633">
        <f t="shared" ref="AU136:AU143" si="11">+B136-AY136</f>
        <v>0</v>
      </c>
      <c r="AX136" s="358">
        <v>130</v>
      </c>
      <c r="AY136" s="301" t="s">
        <v>550</v>
      </c>
      <c r="AZ136" s="139" t="s">
        <v>551</v>
      </c>
      <c r="BA136" s="633">
        <f t="shared" ref="BA136:BA199" si="12">+AY136-BD136</f>
        <v>0</v>
      </c>
      <c r="BC136" s="196">
        <v>130</v>
      </c>
      <c r="BD136" s="73" t="s">
        <v>550</v>
      </c>
      <c r="BE136" s="139" t="s">
        <v>551</v>
      </c>
      <c r="BF136" s="168">
        <v>0</v>
      </c>
      <c r="BG136" s="168">
        <v>54633.09</v>
      </c>
    </row>
    <row r="137" spans="1:59">
      <c r="A137" s="139" t="s">
        <v>1195</v>
      </c>
      <c r="B137" s="233" t="s">
        <v>217</v>
      </c>
      <c r="C137" s="233" t="str">
        <f t="shared" si="10"/>
        <v>06101 LACENTER SCHOOL DISTRICT</v>
      </c>
      <c r="D137" s="607"/>
      <c r="E137" s="607">
        <v>25164.59</v>
      </c>
      <c r="F137" s="607"/>
      <c r="G137" s="607">
        <v>4461923.3899999997</v>
      </c>
      <c r="H137" s="607">
        <v>575868.68999999994</v>
      </c>
      <c r="I137" s="607"/>
      <c r="J137" s="607">
        <v>399850.6</v>
      </c>
      <c r="K137" s="607">
        <v>124818.77</v>
      </c>
      <c r="L137" s="607">
        <v>62742.83</v>
      </c>
      <c r="M137" s="607"/>
      <c r="N137" s="608">
        <v>3.7600000000000001E-2</v>
      </c>
      <c r="O137" s="608">
        <v>0.1988</v>
      </c>
      <c r="P137" s="607"/>
      <c r="Q137" s="607"/>
      <c r="R137" s="607"/>
      <c r="S137" s="607"/>
      <c r="T137" s="607"/>
      <c r="U137" s="607"/>
      <c r="V137" s="607"/>
      <c r="W137" s="607"/>
      <c r="X137" s="607"/>
      <c r="Y137" s="607">
        <v>1501.94</v>
      </c>
      <c r="Z137" s="607"/>
      <c r="AA137" s="607"/>
      <c r="AB137" s="607">
        <v>74724.259999999995</v>
      </c>
      <c r="AC137" s="607">
        <v>1673469.1</v>
      </c>
      <c r="AD137" s="607">
        <v>158.56</v>
      </c>
      <c r="AE137" s="607">
        <v>1584007.1</v>
      </c>
      <c r="AF137" s="148"/>
      <c r="AG137" s="148"/>
      <c r="AH137" s="148"/>
      <c r="AI137" s="607">
        <v>7.12</v>
      </c>
      <c r="AJ137" s="607">
        <v>69663.960000000006</v>
      </c>
      <c r="AK137" s="148"/>
      <c r="AL137" s="148"/>
      <c r="AM137" s="148"/>
      <c r="AN137" s="607"/>
      <c r="AO137" s="607"/>
      <c r="AP137" s="148"/>
      <c r="AQ137" s="168">
        <v>10221.350000000064</v>
      </c>
      <c r="AR137" s="238">
        <v>196519.67</v>
      </c>
      <c r="AU137" s="633">
        <f t="shared" si="11"/>
        <v>0</v>
      </c>
      <c r="AX137" s="358">
        <v>131</v>
      </c>
      <c r="AY137" s="301" t="s">
        <v>217</v>
      </c>
      <c r="AZ137" s="139" t="s">
        <v>1195</v>
      </c>
      <c r="BA137" s="633">
        <f t="shared" si="12"/>
        <v>0</v>
      </c>
      <c r="BC137" s="196">
        <v>131</v>
      </c>
      <c r="BD137" s="73" t="s">
        <v>217</v>
      </c>
      <c r="BE137" s="139" t="s">
        <v>1195</v>
      </c>
      <c r="BF137" s="168">
        <v>10221.350000000064</v>
      </c>
      <c r="BG137" s="168">
        <v>176061.61000000002</v>
      </c>
    </row>
    <row r="138" spans="1:59">
      <c r="A138" s="139" t="s">
        <v>686</v>
      </c>
      <c r="B138" s="233" t="s">
        <v>685</v>
      </c>
      <c r="C138" s="233" t="str">
        <f t="shared" si="10"/>
        <v>38126 LACROSSE JOINT SCHOOL DISTRICT</v>
      </c>
      <c r="D138" s="607"/>
      <c r="E138" s="607"/>
      <c r="F138" s="607"/>
      <c r="G138" s="607">
        <v>174721.55</v>
      </c>
      <c r="H138" s="607">
        <v>28031.26</v>
      </c>
      <c r="I138" s="607">
        <v>11274.4</v>
      </c>
      <c r="J138" s="607">
        <v>23433.08</v>
      </c>
      <c r="K138" s="607"/>
      <c r="L138" s="607">
        <v>2210.66</v>
      </c>
      <c r="M138" s="607">
        <v>351110.35</v>
      </c>
      <c r="N138" s="608">
        <v>3.6299999999999999E-2</v>
      </c>
      <c r="O138" s="608">
        <v>0.2888</v>
      </c>
      <c r="P138" s="607"/>
      <c r="Q138" s="607"/>
      <c r="R138" s="607"/>
      <c r="S138" s="607"/>
      <c r="T138" s="607"/>
      <c r="U138" s="607"/>
      <c r="V138" s="607"/>
      <c r="W138" s="607"/>
      <c r="X138" s="607"/>
      <c r="Y138" s="607">
        <v>59</v>
      </c>
      <c r="Z138" s="607"/>
      <c r="AA138" s="607">
        <v>566.19000000000005</v>
      </c>
      <c r="AB138" s="607"/>
      <c r="AC138" s="607">
        <v>49580.74</v>
      </c>
      <c r="AD138" s="607">
        <v>5</v>
      </c>
      <c r="AE138" s="607">
        <v>47293.31</v>
      </c>
      <c r="AF138" s="148"/>
      <c r="AG138" s="148"/>
      <c r="AH138" s="148"/>
      <c r="AI138" s="607"/>
      <c r="AJ138" s="607"/>
      <c r="AK138" s="148"/>
      <c r="AL138" s="148"/>
      <c r="AM138" s="148"/>
      <c r="AN138" s="607"/>
      <c r="AO138" s="607"/>
      <c r="AP138" s="148"/>
      <c r="AQ138" s="168">
        <v>35586.039999999994</v>
      </c>
      <c r="AR138" s="238">
        <v>21933.55</v>
      </c>
      <c r="AU138" s="633">
        <f t="shared" si="11"/>
        <v>0</v>
      </c>
      <c r="AX138" s="358">
        <v>132</v>
      </c>
      <c r="AY138" s="301" t="s">
        <v>685</v>
      </c>
      <c r="AZ138" s="139" t="s">
        <v>686</v>
      </c>
      <c r="BA138" s="633">
        <f t="shared" si="12"/>
        <v>0</v>
      </c>
      <c r="BC138" s="196">
        <v>132</v>
      </c>
      <c r="BD138" s="73" t="s">
        <v>685</v>
      </c>
      <c r="BE138" s="139" t="s">
        <v>686</v>
      </c>
      <c r="BF138" s="168">
        <v>35586.039999999994</v>
      </c>
      <c r="BG138" s="168">
        <v>20504.400000000001</v>
      </c>
    </row>
    <row r="139" spans="1:59">
      <c r="A139" s="139" t="s">
        <v>196</v>
      </c>
      <c r="B139" s="233" t="s">
        <v>195</v>
      </c>
      <c r="C139" s="233" t="str">
        <f t="shared" si="10"/>
        <v>04129 LAKE CHELAN SCHOOL DISTRICT</v>
      </c>
      <c r="D139" s="607"/>
      <c r="E139" s="607">
        <v>47560.82</v>
      </c>
      <c r="F139" s="607">
        <v>5133.5600000000004</v>
      </c>
      <c r="G139" s="607">
        <v>2239583.85</v>
      </c>
      <c r="H139" s="607">
        <v>332563.21999999997</v>
      </c>
      <c r="I139" s="607">
        <v>403004.49</v>
      </c>
      <c r="J139" s="607">
        <v>514311.56</v>
      </c>
      <c r="K139" s="607">
        <v>657972.07999999996</v>
      </c>
      <c r="L139" s="607">
        <v>38797.199999999997</v>
      </c>
      <c r="M139" s="607">
        <v>989044.86</v>
      </c>
      <c r="N139" s="608">
        <v>5.04E-2</v>
      </c>
      <c r="O139" s="608">
        <v>0.2036</v>
      </c>
      <c r="P139" s="607"/>
      <c r="Q139" s="607"/>
      <c r="R139" s="607"/>
      <c r="S139" s="607"/>
      <c r="T139" s="607"/>
      <c r="U139" s="607"/>
      <c r="V139" s="607"/>
      <c r="W139" s="607"/>
      <c r="X139" s="607"/>
      <c r="Y139" s="607">
        <v>1045.54</v>
      </c>
      <c r="Z139" s="607">
        <v>6900.59</v>
      </c>
      <c r="AA139" s="607">
        <v>91679.31</v>
      </c>
      <c r="AB139" s="607">
        <v>260640.6</v>
      </c>
      <c r="AC139" s="607">
        <v>1345813.14</v>
      </c>
      <c r="AD139" s="607">
        <v>134.57</v>
      </c>
      <c r="AE139" s="607">
        <v>1267564.8500000001</v>
      </c>
      <c r="AF139" s="148"/>
      <c r="AG139" s="148"/>
      <c r="AH139" s="148"/>
      <c r="AI139" s="607">
        <v>26.72</v>
      </c>
      <c r="AJ139" s="607">
        <v>246787.69</v>
      </c>
      <c r="AK139" s="148"/>
      <c r="AL139" s="148"/>
      <c r="AM139" s="148"/>
      <c r="AN139" s="607">
        <v>7969.19</v>
      </c>
      <c r="AO139" s="607"/>
      <c r="AP139" s="148"/>
      <c r="AQ139" s="168">
        <v>4190.3000000000466</v>
      </c>
      <c r="AR139" s="238">
        <v>141803.97</v>
      </c>
      <c r="AU139" s="633">
        <f t="shared" si="11"/>
        <v>0</v>
      </c>
      <c r="AX139" s="358">
        <v>133</v>
      </c>
      <c r="AY139" s="301" t="s">
        <v>195</v>
      </c>
      <c r="AZ139" s="139" t="s">
        <v>196</v>
      </c>
      <c r="BA139" s="633">
        <f t="shared" si="12"/>
        <v>0</v>
      </c>
      <c r="BC139" s="196">
        <v>133</v>
      </c>
      <c r="BD139" s="73" t="s">
        <v>195</v>
      </c>
      <c r="BE139" s="139" t="s">
        <v>196</v>
      </c>
      <c r="BF139" s="168">
        <v>4190.3000000000466</v>
      </c>
      <c r="BG139" s="168">
        <v>127192.40000000001</v>
      </c>
    </row>
    <row r="140" spans="1:59">
      <c r="A140" s="139" t="s">
        <v>567</v>
      </c>
      <c r="B140" s="233" t="s">
        <v>566</v>
      </c>
      <c r="C140" s="233" t="str">
        <f t="shared" si="10"/>
        <v>31004 LAKE STEVENS SCHOOL DISTRICT</v>
      </c>
      <c r="D140" s="607"/>
      <c r="E140" s="607"/>
      <c r="F140" s="607"/>
      <c r="G140" s="607">
        <v>25940096.370000001</v>
      </c>
      <c r="H140" s="607">
        <v>3708918.93</v>
      </c>
      <c r="I140" s="607"/>
      <c r="J140" s="607">
        <v>2343471.35</v>
      </c>
      <c r="K140" s="607">
        <v>1602307.33</v>
      </c>
      <c r="L140" s="607">
        <v>362241.27</v>
      </c>
      <c r="M140" s="607">
        <v>7998731.5</v>
      </c>
      <c r="N140" s="608">
        <v>3.4000000000000002E-2</v>
      </c>
      <c r="O140" s="608">
        <v>0.1411</v>
      </c>
      <c r="P140" s="607"/>
      <c r="Q140" s="607"/>
      <c r="R140" s="607"/>
      <c r="S140" s="607"/>
      <c r="T140" s="607"/>
      <c r="U140" s="607"/>
      <c r="V140" s="607"/>
      <c r="W140" s="607"/>
      <c r="X140" s="607"/>
      <c r="Y140" s="607">
        <v>7611.3</v>
      </c>
      <c r="Z140" s="607">
        <v>133098.45000000001</v>
      </c>
      <c r="AA140" s="607">
        <v>503736.26</v>
      </c>
      <c r="AB140" s="607">
        <v>1411904.16</v>
      </c>
      <c r="AC140" s="607">
        <v>5347791.78</v>
      </c>
      <c r="AD140" s="607">
        <v>458.08</v>
      </c>
      <c r="AE140" s="607">
        <v>4843379.79</v>
      </c>
      <c r="AF140" s="148"/>
      <c r="AG140" s="148"/>
      <c r="AH140" s="148"/>
      <c r="AI140" s="607">
        <v>126.57</v>
      </c>
      <c r="AJ140" s="607">
        <v>1315793.98</v>
      </c>
      <c r="AK140" s="148"/>
      <c r="AL140" s="148"/>
      <c r="AM140" s="148"/>
      <c r="AN140" s="607"/>
      <c r="AO140" s="607"/>
      <c r="AP140" s="148"/>
      <c r="AQ140" s="168">
        <v>0</v>
      </c>
      <c r="AR140" s="238">
        <v>1213006.73</v>
      </c>
      <c r="AU140" s="633">
        <f t="shared" si="11"/>
        <v>0</v>
      </c>
      <c r="AX140" s="358">
        <v>134</v>
      </c>
      <c r="AY140" s="301" t="s">
        <v>566</v>
      </c>
      <c r="AZ140" s="139" t="s">
        <v>567</v>
      </c>
      <c r="BA140" s="633">
        <f t="shared" si="12"/>
        <v>0</v>
      </c>
      <c r="BC140" s="196">
        <v>134</v>
      </c>
      <c r="BD140" s="73" t="s">
        <v>566</v>
      </c>
      <c r="BE140" s="139" t="s">
        <v>567</v>
      </c>
      <c r="BF140" s="168">
        <v>0</v>
      </c>
      <c r="BG140" s="168">
        <v>1047751.5199999999</v>
      </c>
    </row>
    <row r="141" spans="1:59">
      <c r="A141" s="139" t="s">
        <v>369</v>
      </c>
      <c r="B141" s="233" t="s">
        <v>368</v>
      </c>
      <c r="C141" s="233" t="str">
        <f t="shared" si="10"/>
        <v>17414 LAKE WASHINGTON SCHOOL DISTRICT</v>
      </c>
      <c r="D141" s="607"/>
      <c r="E141" s="607">
        <v>96024.04</v>
      </c>
      <c r="F141" s="607"/>
      <c r="G141" s="607">
        <v>56926871.859999999</v>
      </c>
      <c r="H141" s="607">
        <v>6934808.0899999999</v>
      </c>
      <c r="I141" s="607"/>
      <c r="J141" s="607">
        <v>3174713.02</v>
      </c>
      <c r="K141" s="607">
        <v>7895558.6600000001</v>
      </c>
      <c r="L141" s="607">
        <v>1113636.76</v>
      </c>
      <c r="M141" s="607">
        <v>18692375.859999999</v>
      </c>
      <c r="N141" s="608">
        <v>2.5399999999999999E-2</v>
      </c>
      <c r="O141" s="608">
        <v>0.1197</v>
      </c>
      <c r="P141" s="607"/>
      <c r="Q141" s="607"/>
      <c r="R141" s="607"/>
      <c r="S141" s="607"/>
      <c r="T141" s="607"/>
      <c r="U141" s="607"/>
      <c r="V141" s="607"/>
      <c r="W141" s="607"/>
      <c r="X141" s="607"/>
      <c r="Y141" s="607">
        <v>8508.5400000000009</v>
      </c>
      <c r="Z141" s="607"/>
      <c r="AA141" s="607">
        <v>407932.17</v>
      </c>
      <c r="AB141" s="607">
        <v>3490498.45</v>
      </c>
      <c r="AC141" s="607">
        <v>19041983.539999999</v>
      </c>
      <c r="AD141" s="607">
        <v>1586.34</v>
      </c>
      <c r="AE141" s="607">
        <v>16772507.73</v>
      </c>
      <c r="AF141" s="148"/>
      <c r="AG141" s="148"/>
      <c r="AH141" s="148"/>
      <c r="AI141" s="607">
        <v>310.16000000000003</v>
      </c>
      <c r="AJ141" s="607">
        <v>3224344.24</v>
      </c>
      <c r="AK141" s="148"/>
      <c r="AL141" s="148"/>
      <c r="AM141" s="148"/>
      <c r="AN141" s="607"/>
      <c r="AO141" s="607"/>
      <c r="AP141" s="148"/>
      <c r="AQ141" s="168">
        <v>10212.909999999218</v>
      </c>
      <c r="AR141" s="238">
        <v>3444463.16</v>
      </c>
      <c r="AU141" s="633">
        <f t="shared" si="11"/>
        <v>0</v>
      </c>
      <c r="AX141" s="358">
        <v>135</v>
      </c>
      <c r="AY141" s="301" t="s">
        <v>368</v>
      </c>
      <c r="AZ141" s="139" t="s">
        <v>369</v>
      </c>
      <c r="BA141" s="633">
        <f t="shared" si="12"/>
        <v>0</v>
      </c>
      <c r="BC141" s="196">
        <v>135</v>
      </c>
      <c r="BD141" s="73" t="s">
        <v>368</v>
      </c>
      <c r="BE141" s="139" t="s">
        <v>369</v>
      </c>
      <c r="BF141" s="168">
        <v>10212.909999999218</v>
      </c>
      <c r="BG141" s="168">
        <v>3253298.8200000003</v>
      </c>
    </row>
    <row r="142" spans="1:59">
      <c r="A142" s="139" t="s">
        <v>583</v>
      </c>
      <c r="B142" s="233" t="s">
        <v>582</v>
      </c>
      <c r="C142" s="233" t="str">
        <f t="shared" si="10"/>
        <v>31306 LAKEWOOD SCHOOL DISTRICT</v>
      </c>
      <c r="D142" s="607"/>
      <c r="E142" s="607">
        <v>1404.65</v>
      </c>
      <c r="F142" s="607"/>
      <c r="G142" s="607">
        <v>7710046.9900000002</v>
      </c>
      <c r="H142" s="607">
        <v>1090281.1000000001</v>
      </c>
      <c r="I142" s="607">
        <v>150518.82999999999</v>
      </c>
      <c r="J142" s="607">
        <v>960517.39</v>
      </c>
      <c r="K142" s="607">
        <v>612517.23</v>
      </c>
      <c r="L142" s="607">
        <v>93358.25</v>
      </c>
      <c r="M142" s="607">
        <v>2654601.1800000002</v>
      </c>
      <c r="N142" s="608">
        <v>3.9600000000000003E-2</v>
      </c>
      <c r="O142" s="608">
        <v>0.1613</v>
      </c>
      <c r="P142" s="607"/>
      <c r="Q142" s="607"/>
      <c r="R142" s="607"/>
      <c r="S142" s="607"/>
      <c r="T142" s="607"/>
      <c r="U142" s="607"/>
      <c r="V142" s="607"/>
      <c r="W142" s="607"/>
      <c r="X142" s="607"/>
      <c r="Y142" s="607">
        <v>2339.36</v>
      </c>
      <c r="Z142" s="607"/>
      <c r="AA142" s="607">
        <v>24207.32</v>
      </c>
      <c r="AB142" s="607">
        <v>344967.12</v>
      </c>
      <c r="AC142" s="607">
        <v>1536550.94</v>
      </c>
      <c r="AD142" s="607">
        <v>136.29</v>
      </c>
      <c r="AE142" s="607">
        <v>1388557.98</v>
      </c>
      <c r="AF142" s="148"/>
      <c r="AG142" s="148"/>
      <c r="AH142" s="148"/>
      <c r="AI142" s="607">
        <v>32.299999999999997</v>
      </c>
      <c r="AJ142" s="607">
        <v>323254.56</v>
      </c>
      <c r="AK142" s="148"/>
      <c r="AL142" s="148"/>
      <c r="AM142" s="148"/>
      <c r="AN142" s="607"/>
      <c r="AO142" s="607"/>
      <c r="AP142" s="148"/>
      <c r="AQ142" s="168">
        <v>94010.440000000119</v>
      </c>
      <c r="AR142" s="238">
        <v>329360.76000000007</v>
      </c>
      <c r="AU142" s="633">
        <f t="shared" si="11"/>
        <v>0</v>
      </c>
      <c r="AX142" s="358">
        <v>136</v>
      </c>
      <c r="AY142" s="301" t="s">
        <v>582</v>
      </c>
      <c r="AZ142" s="139" t="s">
        <v>583</v>
      </c>
      <c r="BA142" s="633">
        <f t="shared" si="12"/>
        <v>0</v>
      </c>
      <c r="BC142" s="196">
        <v>136</v>
      </c>
      <c r="BD142" s="73" t="s">
        <v>582</v>
      </c>
      <c r="BE142" s="139" t="s">
        <v>583</v>
      </c>
      <c r="BF142" s="168">
        <v>94010.440000000119</v>
      </c>
      <c r="BG142" s="168">
        <v>282730.68000000011</v>
      </c>
    </row>
    <row r="143" spans="1:59">
      <c r="A143" s="139" t="s">
        <v>688</v>
      </c>
      <c r="B143" s="233" t="s">
        <v>687</v>
      </c>
      <c r="C143" s="233" t="str">
        <f t="shared" si="10"/>
        <v>38264 LAMONT SCHOOL DISTRICT</v>
      </c>
      <c r="D143" s="607"/>
      <c r="E143" s="607"/>
      <c r="F143" s="607"/>
      <c r="G143" s="607">
        <v>53656.55</v>
      </c>
      <c r="H143" s="607">
        <v>8208</v>
      </c>
      <c r="I143" s="607">
        <v>10058.530000000001</v>
      </c>
      <c r="J143" s="607">
        <v>12932.4</v>
      </c>
      <c r="K143" s="607"/>
      <c r="L143" s="607">
        <v>773.73</v>
      </c>
      <c r="M143" s="607">
        <v>88225.95</v>
      </c>
      <c r="N143" s="608">
        <v>0.20250000000000001</v>
      </c>
      <c r="O143" s="608">
        <v>0.42020000000000002</v>
      </c>
      <c r="P143" s="607"/>
      <c r="Q143" s="607"/>
      <c r="R143" s="607"/>
      <c r="S143" s="607"/>
      <c r="T143" s="607"/>
      <c r="U143" s="607"/>
      <c r="V143" s="607"/>
      <c r="W143" s="607"/>
      <c r="X143" s="607"/>
      <c r="Y143" s="607">
        <v>21.3</v>
      </c>
      <c r="Z143" s="607"/>
      <c r="AA143" s="607"/>
      <c r="AB143" s="607"/>
      <c r="AC143" s="607"/>
      <c r="AD143" s="607"/>
      <c r="AE143" s="607"/>
      <c r="AF143" s="148"/>
      <c r="AG143" s="148"/>
      <c r="AH143" s="148"/>
      <c r="AI143" s="607"/>
      <c r="AJ143" s="607"/>
      <c r="AK143" s="148"/>
      <c r="AL143" s="148"/>
      <c r="AM143" s="148"/>
      <c r="AN143" s="607"/>
      <c r="AO143" s="607"/>
      <c r="AP143" s="148"/>
      <c r="AQ143" s="168">
        <v>844.01000000000022</v>
      </c>
      <c r="AR143" s="238">
        <v>6444.8499999999995</v>
      </c>
      <c r="AU143" s="633">
        <f t="shared" si="11"/>
        <v>0</v>
      </c>
      <c r="AX143" s="358">
        <v>137</v>
      </c>
      <c r="AY143" s="301" t="s">
        <v>687</v>
      </c>
      <c r="AZ143" s="139" t="s">
        <v>688</v>
      </c>
      <c r="BA143" s="633">
        <f t="shared" si="12"/>
        <v>0</v>
      </c>
      <c r="BC143" s="196">
        <v>137</v>
      </c>
      <c r="BD143" s="73" t="s">
        <v>687</v>
      </c>
      <c r="BE143" s="139" t="s">
        <v>688</v>
      </c>
      <c r="BF143" s="168">
        <v>844.01000000000022</v>
      </c>
      <c r="BG143" s="168">
        <v>6081.15</v>
      </c>
    </row>
    <row r="144" spans="1:59">
      <c r="A144" s="139" t="s">
        <v>612</v>
      </c>
      <c r="B144" s="233" t="s">
        <v>611</v>
      </c>
      <c r="C144" s="233" t="str">
        <f t="shared" si="10"/>
        <v>32362 LIBERTY SCHOOL DISTRICT</v>
      </c>
      <c r="D144" s="607"/>
      <c r="E144" s="607">
        <v>6842.81</v>
      </c>
      <c r="F144" s="607"/>
      <c r="G144" s="607">
        <v>966973.43</v>
      </c>
      <c r="H144" s="607">
        <v>160966.6</v>
      </c>
      <c r="I144" s="607"/>
      <c r="J144" s="607">
        <v>167679.06</v>
      </c>
      <c r="K144" s="607"/>
      <c r="L144" s="607">
        <v>18790.669999999998</v>
      </c>
      <c r="M144" s="607">
        <v>885150.06</v>
      </c>
      <c r="N144" s="608">
        <v>3.1399999999999997E-2</v>
      </c>
      <c r="O144" s="608">
        <v>0.24790000000000001</v>
      </c>
      <c r="P144" s="607"/>
      <c r="Q144" s="607"/>
      <c r="R144" s="607"/>
      <c r="S144" s="607"/>
      <c r="T144" s="607"/>
      <c r="U144" s="607"/>
      <c r="V144" s="607"/>
      <c r="W144" s="607"/>
      <c r="X144" s="607"/>
      <c r="Y144" s="607">
        <v>499.83</v>
      </c>
      <c r="Z144" s="607"/>
      <c r="AA144" s="607"/>
      <c r="AB144" s="607"/>
      <c r="AC144" s="607">
        <v>318274.40999999997</v>
      </c>
      <c r="AD144" s="607">
        <v>31.68</v>
      </c>
      <c r="AE144" s="607">
        <v>298348.78000000003</v>
      </c>
      <c r="AF144" s="148"/>
      <c r="AG144" s="148"/>
      <c r="AH144" s="148"/>
      <c r="AI144" s="607"/>
      <c r="AJ144" s="607"/>
      <c r="AK144" s="148"/>
      <c r="AL144" s="148"/>
      <c r="AM144" s="148"/>
      <c r="AN144" s="607"/>
      <c r="AO144" s="607"/>
      <c r="AP144" s="148"/>
      <c r="AQ144" s="168">
        <v>83839.029999999984</v>
      </c>
      <c r="AR144" s="238">
        <v>68060.98000000001</v>
      </c>
      <c r="AU144" s="633">
        <f t="shared" ref="AU144:AU175" si="13">+B144-AY144</f>
        <v>0</v>
      </c>
      <c r="AX144" s="358">
        <v>138</v>
      </c>
      <c r="AY144" s="301" t="s">
        <v>611</v>
      </c>
      <c r="AZ144" s="139" t="s">
        <v>612</v>
      </c>
      <c r="BA144" s="633">
        <f t="shared" si="12"/>
        <v>0</v>
      </c>
      <c r="BC144" s="196">
        <v>138</v>
      </c>
      <c r="BD144" s="73" t="s">
        <v>611</v>
      </c>
      <c r="BE144" s="139" t="s">
        <v>612</v>
      </c>
      <c r="BF144" s="168">
        <v>83839.029999999984</v>
      </c>
      <c r="BG144" s="168">
        <v>59833.189999999995</v>
      </c>
    </row>
    <row r="145" spans="1:59">
      <c r="A145" s="139" t="s">
        <v>170</v>
      </c>
      <c r="B145" s="233" t="s">
        <v>169</v>
      </c>
      <c r="C145" s="233" t="str">
        <f t="shared" si="10"/>
        <v>01158 LIND SCHOOL DISTRICT</v>
      </c>
      <c r="D145" s="607"/>
      <c r="E145" s="607"/>
      <c r="F145" s="607"/>
      <c r="G145" s="607">
        <v>251865.47</v>
      </c>
      <c r="H145" s="607">
        <v>43837.19</v>
      </c>
      <c r="I145" s="607">
        <v>55929.85</v>
      </c>
      <c r="J145" s="607">
        <v>89421.47</v>
      </c>
      <c r="K145" s="607">
        <v>33138.42</v>
      </c>
      <c r="L145" s="607">
        <v>4974</v>
      </c>
      <c r="M145" s="607">
        <v>1221244.67</v>
      </c>
      <c r="N145" s="608">
        <v>5.21E-2</v>
      </c>
      <c r="O145" s="608">
        <v>0.18740000000000001</v>
      </c>
      <c r="P145" s="607"/>
      <c r="Q145" s="607"/>
      <c r="R145" s="607"/>
      <c r="S145" s="607"/>
      <c r="T145" s="607"/>
      <c r="U145" s="607"/>
      <c r="V145" s="607"/>
      <c r="W145" s="607"/>
      <c r="X145" s="607"/>
      <c r="Y145" s="607">
        <v>134.38</v>
      </c>
      <c r="Z145" s="607"/>
      <c r="AA145" s="607"/>
      <c r="AB145" s="607">
        <v>47899.48</v>
      </c>
      <c r="AC145" s="607">
        <v>123940.45</v>
      </c>
      <c r="AD145" s="607">
        <v>12.63</v>
      </c>
      <c r="AE145" s="607">
        <v>118992.73</v>
      </c>
      <c r="AF145" s="148"/>
      <c r="AG145" s="148"/>
      <c r="AH145" s="148"/>
      <c r="AI145" s="607">
        <v>4.9000000000000004</v>
      </c>
      <c r="AJ145" s="607">
        <v>45187.27</v>
      </c>
      <c r="AK145" s="148"/>
      <c r="AL145" s="148"/>
      <c r="AM145" s="148"/>
      <c r="AN145" s="607">
        <v>29.72</v>
      </c>
      <c r="AO145" s="607"/>
      <c r="AP145" s="148"/>
      <c r="AQ145" s="168">
        <v>0</v>
      </c>
      <c r="AR145" s="238">
        <v>28771.969999999998</v>
      </c>
      <c r="AU145" s="633">
        <f t="shared" si="13"/>
        <v>0</v>
      </c>
      <c r="AX145" s="358">
        <v>139</v>
      </c>
      <c r="AY145" s="301" t="s">
        <v>169</v>
      </c>
      <c r="AZ145" s="139" t="s">
        <v>170</v>
      </c>
      <c r="BA145" s="633">
        <f t="shared" si="12"/>
        <v>0</v>
      </c>
      <c r="BC145" s="196">
        <v>139</v>
      </c>
      <c r="BD145" s="73" t="s">
        <v>169</v>
      </c>
      <c r="BE145" s="139" t="s">
        <v>170</v>
      </c>
      <c r="BF145" s="168">
        <v>0</v>
      </c>
      <c r="BG145" s="168">
        <v>26718.639999999996</v>
      </c>
    </row>
    <row r="146" spans="1:59">
      <c r="A146" s="139" t="s">
        <v>234</v>
      </c>
      <c r="B146" s="233" t="s">
        <v>233</v>
      </c>
      <c r="C146" s="233" t="str">
        <f t="shared" si="10"/>
        <v>08122 LONGVIEW SCHOOL DISTRICT</v>
      </c>
      <c r="D146" s="607"/>
      <c r="E146" s="607">
        <v>257554.34</v>
      </c>
      <c r="F146" s="607">
        <v>58488.05</v>
      </c>
      <c r="G146" s="607">
        <v>17462204.77</v>
      </c>
      <c r="H146" s="607">
        <v>2684789.78</v>
      </c>
      <c r="I146" s="607">
        <v>2021543.96</v>
      </c>
      <c r="J146" s="607">
        <v>2818820.82</v>
      </c>
      <c r="K146" s="607">
        <v>922970.45</v>
      </c>
      <c r="L146" s="607">
        <v>194649.17</v>
      </c>
      <c r="M146" s="607">
        <v>3521176.31</v>
      </c>
      <c r="N146" s="608">
        <v>4.8599999999999997E-2</v>
      </c>
      <c r="O146" s="608">
        <v>0.16520000000000001</v>
      </c>
      <c r="P146" s="607"/>
      <c r="Q146" s="607"/>
      <c r="R146" s="607"/>
      <c r="S146" s="607"/>
      <c r="T146" s="607"/>
      <c r="U146" s="607"/>
      <c r="V146" s="607"/>
      <c r="W146" s="607"/>
      <c r="X146" s="607"/>
      <c r="Y146" s="607">
        <v>324.48</v>
      </c>
      <c r="Z146" s="607">
        <v>27197.64</v>
      </c>
      <c r="AA146" s="607">
        <v>226985.9</v>
      </c>
      <c r="AB146" s="607">
        <v>457155.42</v>
      </c>
      <c r="AC146" s="607">
        <v>3148572.71</v>
      </c>
      <c r="AD146" s="607">
        <v>307.05</v>
      </c>
      <c r="AE146" s="607">
        <v>2892173.03</v>
      </c>
      <c r="AF146" s="148"/>
      <c r="AG146" s="148"/>
      <c r="AH146" s="148"/>
      <c r="AI146" s="607">
        <v>46.77</v>
      </c>
      <c r="AJ146" s="607">
        <v>432051.8</v>
      </c>
      <c r="AK146" s="148"/>
      <c r="AL146" s="148"/>
      <c r="AM146" s="148"/>
      <c r="AN146" s="607">
        <v>581.87</v>
      </c>
      <c r="AO146" s="607">
        <v>547.64</v>
      </c>
      <c r="AP146" s="148"/>
      <c r="AQ146" s="168">
        <v>0</v>
      </c>
      <c r="AR146" s="238">
        <v>729729.3600000001</v>
      </c>
      <c r="AU146" s="633">
        <f t="shared" si="13"/>
        <v>0</v>
      </c>
      <c r="AX146" s="358">
        <v>140</v>
      </c>
      <c r="AY146" s="301" t="s">
        <v>233</v>
      </c>
      <c r="AZ146" s="139" t="s">
        <v>234</v>
      </c>
      <c r="BA146" s="633">
        <f t="shared" si="12"/>
        <v>0</v>
      </c>
      <c r="BC146" s="196">
        <v>140</v>
      </c>
      <c r="BD146" s="73" t="s">
        <v>233</v>
      </c>
      <c r="BE146" s="139" t="s">
        <v>234</v>
      </c>
      <c r="BF146" s="168">
        <v>0</v>
      </c>
      <c r="BG146" s="168">
        <v>615290.19000000018</v>
      </c>
    </row>
    <row r="147" spans="1:59">
      <c r="A147" s="139" t="s">
        <v>629</v>
      </c>
      <c r="B147" s="233" t="s">
        <v>628</v>
      </c>
      <c r="C147" s="233" t="str">
        <f t="shared" si="10"/>
        <v>33183 LOON LAKE SCHOOL DISTRICT</v>
      </c>
      <c r="D147" s="607"/>
      <c r="E147" s="607"/>
      <c r="F147" s="607"/>
      <c r="G147" s="607">
        <v>260411.24</v>
      </c>
      <c r="H147" s="607">
        <v>40820.35</v>
      </c>
      <c r="I147" s="607">
        <v>32275.73</v>
      </c>
      <c r="J147" s="607">
        <v>96274.51</v>
      </c>
      <c r="K147" s="607"/>
      <c r="L147" s="607">
        <v>8621.6</v>
      </c>
      <c r="M147" s="607"/>
      <c r="N147" s="608">
        <v>0.13719999999999999</v>
      </c>
      <c r="O147" s="608">
        <v>0.32100000000000001</v>
      </c>
      <c r="P147" s="607"/>
      <c r="Q147" s="607"/>
      <c r="R147" s="607"/>
      <c r="S147" s="607"/>
      <c r="T147" s="607"/>
      <c r="U147" s="607"/>
      <c r="V147" s="607"/>
      <c r="W147" s="607"/>
      <c r="X147" s="607"/>
      <c r="Y147" s="607">
        <v>242.54</v>
      </c>
      <c r="Z147" s="607"/>
      <c r="AA147" s="607"/>
      <c r="AB147" s="607"/>
      <c r="AC147" s="607"/>
      <c r="AD147" s="607"/>
      <c r="AE147" s="607"/>
      <c r="AF147" s="148"/>
      <c r="AG147" s="148"/>
      <c r="AH147" s="148"/>
      <c r="AI147" s="607"/>
      <c r="AJ147" s="607"/>
      <c r="AK147" s="148"/>
      <c r="AL147" s="148"/>
      <c r="AM147" s="148"/>
      <c r="AN147" s="607"/>
      <c r="AO147" s="607"/>
      <c r="AP147" s="148"/>
      <c r="AQ147" s="168">
        <v>0</v>
      </c>
      <c r="AR147" s="238">
        <v>13282.960000000001</v>
      </c>
      <c r="AU147" s="633">
        <f t="shared" si="13"/>
        <v>0</v>
      </c>
      <c r="AX147" s="358">
        <v>141</v>
      </c>
      <c r="AY147" s="301" t="s">
        <v>628</v>
      </c>
      <c r="AZ147" s="139" t="s">
        <v>629</v>
      </c>
      <c r="BA147" s="633">
        <f t="shared" si="12"/>
        <v>0</v>
      </c>
      <c r="BC147" s="196">
        <v>141</v>
      </c>
      <c r="BD147" s="73" t="s">
        <v>628</v>
      </c>
      <c r="BE147" s="139" t="s">
        <v>629</v>
      </c>
      <c r="BF147" s="168">
        <v>0</v>
      </c>
      <c r="BG147" s="168">
        <v>11181.14</v>
      </c>
    </row>
    <row r="148" spans="1:59">
      <c r="A148" s="139" t="s">
        <v>540</v>
      </c>
      <c r="B148" s="233" t="s">
        <v>539</v>
      </c>
      <c r="C148" s="233" t="str">
        <f t="shared" si="10"/>
        <v>28144 LOPEZ SCHOOL DISTRICT</v>
      </c>
      <c r="D148" s="607"/>
      <c r="E148" s="607">
        <v>1200.78</v>
      </c>
      <c r="F148" s="607">
        <v>96.85</v>
      </c>
      <c r="G148" s="607">
        <v>884239.29</v>
      </c>
      <c r="H148" s="607">
        <v>84032.22</v>
      </c>
      <c r="I148" s="607">
        <v>70445.259999999995</v>
      </c>
      <c r="J148" s="607">
        <v>92626.97</v>
      </c>
      <c r="K148" s="607"/>
      <c r="L148" s="607">
        <v>6703.26</v>
      </c>
      <c r="M148" s="607">
        <v>269856.59999999998</v>
      </c>
      <c r="N148" s="608">
        <v>7.2900000000000006E-2</v>
      </c>
      <c r="O148" s="608">
        <v>0.23519999999999999</v>
      </c>
      <c r="P148" s="607"/>
      <c r="Q148" s="607"/>
      <c r="R148" s="607"/>
      <c r="S148" s="607"/>
      <c r="T148" s="607"/>
      <c r="U148" s="607"/>
      <c r="V148" s="607"/>
      <c r="W148" s="607"/>
      <c r="X148" s="607"/>
      <c r="Y148" s="607">
        <v>167.97</v>
      </c>
      <c r="Z148" s="607"/>
      <c r="AA148" s="607">
        <v>335.49</v>
      </c>
      <c r="AB148" s="607"/>
      <c r="AC148" s="607">
        <v>63187.22</v>
      </c>
      <c r="AD148" s="607">
        <v>5.87</v>
      </c>
      <c r="AE148" s="607">
        <v>59751.08</v>
      </c>
      <c r="AF148" s="148"/>
      <c r="AG148" s="148"/>
      <c r="AH148" s="148"/>
      <c r="AI148" s="607"/>
      <c r="AJ148" s="607"/>
      <c r="AK148" s="148"/>
      <c r="AL148" s="148"/>
      <c r="AM148" s="148"/>
      <c r="AN148" s="607"/>
      <c r="AO148" s="607"/>
      <c r="AP148" s="148"/>
      <c r="AQ148" s="168">
        <v>20813.429999999986</v>
      </c>
      <c r="AR148" s="238">
        <v>31753.200000000001</v>
      </c>
      <c r="AU148" s="633">
        <f t="shared" si="13"/>
        <v>0</v>
      </c>
      <c r="AX148" s="358">
        <v>142</v>
      </c>
      <c r="AY148" s="301" t="s">
        <v>539</v>
      </c>
      <c r="AZ148" s="139" t="s">
        <v>540</v>
      </c>
      <c r="BA148" s="633">
        <f t="shared" si="12"/>
        <v>0</v>
      </c>
      <c r="BC148" s="196">
        <v>142</v>
      </c>
      <c r="BD148" s="73" t="s">
        <v>539</v>
      </c>
      <c r="BE148" s="139" t="s">
        <v>540</v>
      </c>
      <c r="BF148" s="168">
        <v>20813.429999999986</v>
      </c>
      <c r="BG148" s="168">
        <v>30831.18</v>
      </c>
    </row>
    <row r="149" spans="1:59">
      <c r="A149" s="73" t="s">
        <v>1591</v>
      </c>
      <c r="B149" s="412" t="s">
        <v>1577</v>
      </c>
      <c r="C149" s="233" t="str">
        <f>CONCATENATE(B149," ",A149," CHARTER")</f>
        <v>32903 LUMEN CHARTER</v>
      </c>
      <c r="D149" s="607"/>
      <c r="E149" s="607"/>
      <c r="F149" s="607"/>
      <c r="G149" s="607">
        <v>27208.31</v>
      </c>
      <c r="H149" s="607">
        <v>5123.9399999999996</v>
      </c>
      <c r="I149" s="607">
        <v>9284.7999999999993</v>
      </c>
      <c r="J149" s="607">
        <v>17574.79</v>
      </c>
      <c r="K149" s="607"/>
      <c r="L149" s="607"/>
      <c r="M149" s="607">
        <v>657.85</v>
      </c>
      <c r="N149" s="608">
        <v>3.8699999999999998E-2</v>
      </c>
      <c r="O149" s="608">
        <v>0.1535</v>
      </c>
      <c r="P149" s="607"/>
      <c r="Q149" s="607"/>
      <c r="R149" s="607"/>
      <c r="S149" s="607"/>
      <c r="T149" s="607"/>
      <c r="U149" s="607"/>
      <c r="V149" s="607"/>
      <c r="W149" s="607"/>
      <c r="X149" s="607"/>
      <c r="Y149" s="607"/>
      <c r="Z149" s="607"/>
      <c r="AA149" s="607"/>
      <c r="AB149" s="607"/>
      <c r="AC149" s="607"/>
      <c r="AD149" s="607"/>
      <c r="AE149" s="607"/>
      <c r="AF149" s="148"/>
      <c r="AG149" s="148"/>
      <c r="AH149" s="148"/>
      <c r="AI149" s="607"/>
      <c r="AJ149" s="607"/>
      <c r="AK149" s="148"/>
      <c r="AL149" s="148"/>
      <c r="AM149" s="148"/>
      <c r="AN149" s="607"/>
      <c r="AO149" s="607"/>
      <c r="AP149" s="148"/>
      <c r="AQ149" s="168">
        <v>0</v>
      </c>
      <c r="AR149" s="238">
        <v>14470.2</v>
      </c>
      <c r="AU149" s="633">
        <f t="shared" si="13"/>
        <v>0</v>
      </c>
      <c r="AX149" s="358">
        <v>143</v>
      </c>
      <c r="AY149" s="308" t="s">
        <v>1577</v>
      </c>
      <c r="AZ149" s="73" t="s">
        <v>1591</v>
      </c>
      <c r="BA149" s="633">
        <f t="shared" si="12"/>
        <v>0</v>
      </c>
      <c r="BC149" s="196">
        <v>143</v>
      </c>
      <c r="BD149" s="174" t="s">
        <v>1577</v>
      </c>
      <c r="BE149" s="73" t="s">
        <v>1591</v>
      </c>
      <c r="BF149" s="168">
        <v>0</v>
      </c>
      <c r="BG149" s="168">
        <v>14328.29</v>
      </c>
    </row>
    <row r="150" spans="1:59">
      <c r="A150" t="s">
        <v>1190</v>
      </c>
      <c r="B150" s="233" t="s">
        <v>1178</v>
      </c>
      <c r="C150" s="233" t="str">
        <f>CONCATENATE(B150," ",A150," TRIBAL COMPACT")</f>
        <v>37903 LUMMI TRIBAL TRIBAL COMPACT</v>
      </c>
      <c r="D150" s="607">
        <v>95177.63</v>
      </c>
      <c r="E150" s="607">
        <v>27223.45</v>
      </c>
      <c r="F150" s="607">
        <v>13446.49</v>
      </c>
      <c r="G150" s="607">
        <v>1941507.73</v>
      </c>
      <c r="H150" s="607">
        <v>325679.37</v>
      </c>
      <c r="I150" s="607">
        <v>143862.35</v>
      </c>
      <c r="J150" s="607">
        <v>291094.68</v>
      </c>
      <c r="K150" s="607"/>
      <c r="L150" s="607"/>
      <c r="M150" s="607">
        <v>582848.07999999996</v>
      </c>
      <c r="N150" s="608">
        <v>3.8699999999999998E-2</v>
      </c>
      <c r="O150" s="608">
        <v>0.1535</v>
      </c>
      <c r="P150" s="607"/>
      <c r="Q150" s="607"/>
      <c r="R150" s="607"/>
      <c r="S150" s="607"/>
      <c r="T150" s="607"/>
      <c r="U150" s="607"/>
      <c r="V150" s="607"/>
      <c r="W150" s="607"/>
      <c r="X150" s="607"/>
      <c r="Y150" s="607">
        <v>340.87</v>
      </c>
      <c r="Z150" s="607"/>
      <c r="AA150" s="607"/>
      <c r="AB150" s="607"/>
      <c r="AC150" s="607">
        <v>108831.99</v>
      </c>
      <c r="AD150" s="607">
        <v>10.32</v>
      </c>
      <c r="AE150" s="607">
        <v>101137.26</v>
      </c>
      <c r="AF150" s="148"/>
      <c r="AG150" s="148"/>
      <c r="AH150" s="148"/>
      <c r="AI150" s="607"/>
      <c r="AJ150" s="607"/>
      <c r="AK150" s="148"/>
      <c r="AL150" s="148"/>
      <c r="AM150" s="148"/>
      <c r="AN150" s="607"/>
      <c r="AO150" s="607"/>
      <c r="AP150" s="148"/>
      <c r="AQ150" s="168">
        <v>259831.18</v>
      </c>
      <c r="AR150" s="238">
        <v>62700.689999999995</v>
      </c>
      <c r="AU150" s="633">
        <f t="shared" si="13"/>
        <v>0</v>
      </c>
      <c r="AX150" s="358">
        <v>144</v>
      </c>
      <c r="AY150" s="309" t="s">
        <v>1178</v>
      </c>
      <c r="AZ150" t="s">
        <v>1190</v>
      </c>
      <c r="BA150" s="633">
        <f t="shared" si="12"/>
        <v>0</v>
      </c>
      <c r="BC150" s="196">
        <v>144</v>
      </c>
      <c r="BD150" s="73" t="s">
        <v>1178</v>
      </c>
      <c r="BE150" t="s">
        <v>1190</v>
      </c>
      <c r="BF150" s="168">
        <v>259831.18</v>
      </c>
      <c r="BG150" s="168">
        <v>45901.25</v>
      </c>
    </row>
    <row r="151" spans="1:59">
      <c r="A151" s="139" t="s">
        <v>415</v>
      </c>
      <c r="B151" s="233" t="s">
        <v>414</v>
      </c>
      <c r="C151" s="233" t="str">
        <f t="shared" ref="C151:C174" si="14">CONCATENATE(B151," ",A151," SCHOOL DISTRICT")</f>
        <v>20406 LYLE SCHOOL DISTRICT</v>
      </c>
      <c r="D151" s="607"/>
      <c r="E151" s="607">
        <v>8654.7099999999991</v>
      </c>
      <c r="F151" s="607">
        <v>6369.18</v>
      </c>
      <c r="G151" s="607"/>
      <c r="H151" s="607">
        <v>45862.85</v>
      </c>
      <c r="I151" s="607">
        <v>60903.85</v>
      </c>
      <c r="J151" s="607">
        <v>94837.59</v>
      </c>
      <c r="K151" s="607"/>
      <c r="L151" s="607">
        <v>5637.19</v>
      </c>
      <c r="M151" s="607"/>
      <c r="N151" s="608">
        <v>4.5100000000000001E-2</v>
      </c>
      <c r="O151" s="608">
        <v>0.17269999999999999</v>
      </c>
      <c r="P151" s="607"/>
      <c r="Q151" s="607"/>
      <c r="R151" s="607"/>
      <c r="S151" s="607"/>
      <c r="T151" s="607"/>
      <c r="U151" s="607"/>
      <c r="V151" s="607"/>
      <c r="W151" s="607"/>
      <c r="X151" s="607"/>
      <c r="Y151" s="607">
        <v>162.24</v>
      </c>
      <c r="Z151" s="607"/>
      <c r="AA151" s="607"/>
      <c r="AB151" s="607"/>
      <c r="AC151" s="607"/>
      <c r="AD151" s="607"/>
      <c r="AE151" s="607"/>
      <c r="AF151" s="148"/>
      <c r="AG151" s="148"/>
      <c r="AH151" s="148"/>
      <c r="AI151" s="607"/>
      <c r="AJ151" s="607"/>
      <c r="AK151" s="148"/>
      <c r="AL151" s="148"/>
      <c r="AM151" s="148"/>
      <c r="AN151" s="607"/>
      <c r="AO151" s="607"/>
      <c r="AP151" s="148"/>
      <c r="AQ151" s="168">
        <v>72466.240000000005</v>
      </c>
      <c r="AR151" s="238">
        <v>28903.56</v>
      </c>
      <c r="AU151" s="633">
        <f t="shared" si="13"/>
        <v>0</v>
      </c>
      <c r="AX151" s="358">
        <v>145</v>
      </c>
      <c r="AY151" s="301" t="s">
        <v>414</v>
      </c>
      <c r="AZ151" s="139" t="s">
        <v>415</v>
      </c>
      <c r="BA151" s="633">
        <f t="shared" si="12"/>
        <v>0</v>
      </c>
      <c r="BC151" s="196">
        <v>145</v>
      </c>
      <c r="BD151" s="73" t="s">
        <v>414</v>
      </c>
      <c r="BE151" s="139" t="s">
        <v>415</v>
      </c>
      <c r="BF151" s="168">
        <v>72466.240000000005</v>
      </c>
      <c r="BG151" s="168">
        <v>28994.04</v>
      </c>
    </row>
    <row r="152" spans="1:59">
      <c r="A152" s="139" t="s">
        <v>678</v>
      </c>
      <c r="B152" s="233" t="s">
        <v>677</v>
      </c>
      <c r="C152" s="233" t="str">
        <f t="shared" si="14"/>
        <v>37504 LYNDEN SCHOOL DISTRICT</v>
      </c>
      <c r="D152" s="607"/>
      <c r="E152" s="607"/>
      <c r="F152" s="607"/>
      <c r="G152" s="607">
        <v>8029716.5999999996</v>
      </c>
      <c r="H152" s="607">
        <v>1200938.53</v>
      </c>
      <c r="I152" s="607"/>
      <c r="J152" s="607">
        <v>1130414.74</v>
      </c>
      <c r="K152" s="607">
        <v>810479.53</v>
      </c>
      <c r="L152" s="607">
        <v>121024.45</v>
      </c>
      <c r="M152" s="607">
        <v>2626631.4500000002</v>
      </c>
      <c r="N152" s="608">
        <v>5.4899999999999997E-2</v>
      </c>
      <c r="O152" s="608">
        <v>0.15759999999999999</v>
      </c>
      <c r="P152" s="607"/>
      <c r="Q152" s="607"/>
      <c r="R152" s="607"/>
      <c r="S152" s="607"/>
      <c r="T152" s="607"/>
      <c r="U152" s="607"/>
      <c r="V152" s="607"/>
      <c r="W152" s="607"/>
      <c r="X152" s="607"/>
      <c r="Y152" s="607"/>
      <c r="Z152" s="607">
        <v>4679.2700000000004</v>
      </c>
      <c r="AA152" s="607">
        <v>14037.8</v>
      </c>
      <c r="AB152" s="607">
        <v>186404.67</v>
      </c>
      <c r="AC152" s="607">
        <v>1853641.62</v>
      </c>
      <c r="AD152" s="607">
        <v>159.85</v>
      </c>
      <c r="AE152" s="607">
        <v>1628530.81</v>
      </c>
      <c r="AF152" s="148"/>
      <c r="AG152" s="148"/>
      <c r="AH152" s="148"/>
      <c r="AI152" s="607">
        <v>17.63</v>
      </c>
      <c r="AJ152" s="607">
        <v>176523.9</v>
      </c>
      <c r="AK152" s="148"/>
      <c r="AL152" s="148"/>
      <c r="AM152" s="148"/>
      <c r="AN152" s="607"/>
      <c r="AO152" s="607"/>
      <c r="AP152" s="148"/>
      <c r="AQ152" s="168">
        <v>77176.660000000033</v>
      </c>
      <c r="AR152" s="238">
        <v>377880.28</v>
      </c>
      <c r="AU152" s="633">
        <f t="shared" si="13"/>
        <v>0</v>
      </c>
      <c r="AX152" s="358">
        <v>146</v>
      </c>
      <c r="AY152" s="301" t="s">
        <v>677</v>
      </c>
      <c r="AZ152" s="139" t="s">
        <v>678</v>
      </c>
      <c r="BA152" s="633">
        <f t="shared" si="12"/>
        <v>0</v>
      </c>
      <c r="BC152" s="196">
        <v>146</v>
      </c>
      <c r="BD152" s="73" t="s">
        <v>677</v>
      </c>
      <c r="BE152" s="139" t="s">
        <v>678</v>
      </c>
      <c r="BF152" s="168">
        <v>77176.660000000033</v>
      </c>
      <c r="BG152" s="168">
        <v>322798.58000000007</v>
      </c>
    </row>
    <row r="153" spans="1:59">
      <c r="A153" s="139" t="s">
        <v>721</v>
      </c>
      <c r="B153" s="233" t="s">
        <v>720</v>
      </c>
      <c r="C153" s="233" t="str">
        <f t="shared" si="14"/>
        <v>39120 MABTON SCHOOL DISTRICT</v>
      </c>
      <c r="D153" s="607"/>
      <c r="E153" s="607"/>
      <c r="F153" s="607">
        <v>20280.07</v>
      </c>
      <c r="G153" s="607"/>
      <c r="H153" s="607">
        <v>171428.33</v>
      </c>
      <c r="I153" s="607">
        <v>237757.18</v>
      </c>
      <c r="J153" s="607">
        <v>515195.83</v>
      </c>
      <c r="K153" s="607">
        <v>463501.88</v>
      </c>
      <c r="L153" s="607"/>
      <c r="M153" s="607">
        <v>212992.37</v>
      </c>
      <c r="N153" s="608">
        <v>7.9100000000000004E-2</v>
      </c>
      <c r="O153" s="608">
        <v>0.2666</v>
      </c>
      <c r="P153" s="607"/>
      <c r="Q153" s="607"/>
      <c r="R153" s="607"/>
      <c r="S153" s="607"/>
      <c r="T153" s="607"/>
      <c r="U153" s="607"/>
      <c r="V153" s="607"/>
      <c r="W153" s="607"/>
      <c r="X153" s="607"/>
      <c r="Y153" s="607"/>
      <c r="Z153" s="607">
        <v>7688.42</v>
      </c>
      <c r="AA153" s="607">
        <v>48844.09</v>
      </c>
      <c r="AB153" s="607">
        <v>141703.76</v>
      </c>
      <c r="AC153" s="607">
        <v>650161.36</v>
      </c>
      <c r="AD153" s="607">
        <v>59.31</v>
      </c>
      <c r="AE153" s="607">
        <v>558621.68999999994</v>
      </c>
      <c r="AF153" s="148"/>
      <c r="AG153" s="148"/>
      <c r="AH153" s="148"/>
      <c r="AI153" s="607">
        <v>14.5</v>
      </c>
      <c r="AJ153" s="607">
        <v>133937.93</v>
      </c>
      <c r="AK153" s="148"/>
      <c r="AL153" s="148"/>
      <c r="AM153" s="148"/>
      <c r="AN153" s="607"/>
      <c r="AO153" s="607"/>
      <c r="AP153" s="148"/>
      <c r="AQ153" s="168">
        <v>208284.00999999995</v>
      </c>
      <c r="AR153" s="238">
        <v>76920.959999999992</v>
      </c>
      <c r="AU153" s="633">
        <f t="shared" si="13"/>
        <v>0</v>
      </c>
      <c r="AX153" s="358">
        <v>147</v>
      </c>
      <c r="AY153" s="301" t="s">
        <v>720</v>
      </c>
      <c r="AZ153" s="139" t="s">
        <v>721</v>
      </c>
      <c r="BA153" s="633">
        <f t="shared" si="12"/>
        <v>0</v>
      </c>
      <c r="BC153" s="196">
        <v>147</v>
      </c>
      <c r="BD153" s="73" t="s">
        <v>720</v>
      </c>
      <c r="BE153" s="139" t="s">
        <v>721</v>
      </c>
      <c r="BF153" s="168">
        <v>208284.00999999995</v>
      </c>
      <c r="BG153" s="168">
        <v>77009.53</v>
      </c>
    </row>
    <row r="154" spans="1:59">
      <c r="A154" s="139" t="s">
        <v>254</v>
      </c>
      <c r="B154" s="233" t="s">
        <v>253</v>
      </c>
      <c r="C154" s="233" t="str">
        <f t="shared" si="14"/>
        <v>09207 MANSFIELD SCHOOL DISTRICT</v>
      </c>
      <c r="D154" s="607"/>
      <c r="E154" s="607">
        <v>3577.95</v>
      </c>
      <c r="F154" s="607">
        <v>3172.88</v>
      </c>
      <c r="G154" s="607"/>
      <c r="H154" s="607">
        <v>23641.040000000001</v>
      </c>
      <c r="I154" s="607">
        <v>31391.47</v>
      </c>
      <c r="J154" s="607">
        <v>50403.19</v>
      </c>
      <c r="K154" s="607">
        <v>21038.53</v>
      </c>
      <c r="L154" s="607"/>
      <c r="M154" s="607">
        <v>138324.39000000001</v>
      </c>
      <c r="N154" s="608">
        <v>3.73E-2</v>
      </c>
      <c r="O154" s="608">
        <v>0.38450000000000001</v>
      </c>
      <c r="P154" s="607"/>
      <c r="Q154" s="607"/>
      <c r="R154" s="607"/>
      <c r="S154" s="607"/>
      <c r="T154" s="607"/>
      <c r="U154" s="607"/>
      <c r="V154" s="607"/>
      <c r="W154" s="607"/>
      <c r="X154" s="607"/>
      <c r="Y154" s="607">
        <v>88.49</v>
      </c>
      <c r="Z154" s="607"/>
      <c r="AA154" s="607"/>
      <c r="AB154" s="607">
        <v>23401.360000000001</v>
      </c>
      <c r="AC154" s="607">
        <v>86280.51</v>
      </c>
      <c r="AD154" s="607">
        <v>8.7200000000000006</v>
      </c>
      <c r="AE154" s="607">
        <v>82101.570000000007</v>
      </c>
      <c r="AF154" s="148"/>
      <c r="AG154" s="148"/>
      <c r="AH154" s="148"/>
      <c r="AI154" s="607">
        <v>2.37</v>
      </c>
      <c r="AJ154" s="607">
        <v>21824.73</v>
      </c>
      <c r="AK154" s="148"/>
      <c r="AL154" s="148"/>
      <c r="AM154" s="148"/>
      <c r="AN154" s="607">
        <v>3029.68</v>
      </c>
      <c r="AO154" s="607"/>
      <c r="AP154" s="148"/>
      <c r="AQ154" s="168">
        <v>25746.629999999997</v>
      </c>
      <c r="AR154" s="238">
        <v>22898.679999999997</v>
      </c>
      <c r="AU154" s="633">
        <f t="shared" si="13"/>
        <v>0</v>
      </c>
      <c r="AX154" s="358">
        <v>148</v>
      </c>
      <c r="AY154" s="301" t="s">
        <v>253</v>
      </c>
      <c r="AZ154" s="139" t="s">
        <v>254</v>
      </c>
      <c r="BA154" s="633">
        <f t="shared" si="12"/>
        <v>0</v>
      </c>
      <c r="BC154" s="196">
        <v>148</v>
      </c>
      <c r="BD154" s="73" t="s">
        <v>253</v>
      </c>
      <c r="BE154" s="139" t="s">
        <v>254</v>
      </c>
      <c r="BF154" s="168">
        <v>25746.629999999997</v>
      </c>
      <c r="BG154" s="168">
        <v>22986.989999999998</v>
      </c>
    </row>
    <row r="155" spans="1:59">
      <c r="A155" s="139" t="s">
        <v>190</v>
      </c>
      <c r="B155" s="233" t="s">
        <v>189</v>
      </c>
      <c r="C155" s="233" t="str">
        <f t="shared" si="14"/>
        <v>04019 MANSON SCHOOL DISTRICT</v>
      </c>
      <c r="D155" s="607"/>
      <c r="E155" s="607"/>
      <c r="F155" s="607"/>
      <c r="G155" s="607"/>
      <c r="H155" s="607">
        <v>149514.29</v>
      </c>
      <c r="I155" s="607">
        <v>202386.51</v>
      </c>
      <c r="J155" s="607">
        <v>290481.57</v>
      </c>
      <c r="K155" s="607">
        <v>346536.32</v>
      </c>
      <c r="L155" s="607">
        <v>18016.93</v>
      </c>
      <c r="M155" s="607">
        <v>509687.34</v>
      </c>
      <c r="N155" s="608">
        <v>6.3700000000000007E-2</v>
      </c>
      <c r="O155" s="608">
        <v>0.1953</v>
      </c>
      <c r="P155" s="607"/>
      <c r="Q155" s="607"/>
      <c r="R155" s="607"/>
      <c r="S155" s="607"/>
      <c r="T155" s="607"/>
      <c r="U155" s="607"/>
      <c r="V155" s="607"/>
      <c r="W155" s="607"/>
      <c r="X155" s="607"/>
      <c r="Y155" s="607">
        <v>504.74</v>
      </c>
      <c r="Z155" s="607"/>
      <c r="AA155" s="607">
        <v>14339.03</v>
      </c>
      <c r="AB155" s="607">
        <v>26349.54</v>
      </c>
      <c r="AC155" s="607">
        <v>345073.78</v>
      </c>
      <c r="AD155" s="607">
        <v>34.729999999999997</v>
      </c>
      <c r="AE155" s="607">
        <v>327091.24</v>
      </c>
      <c r="AF155" s="148"/>
      <c r="AG155" s="148"/>
      <c r="AH155" s="148"/>
      <c r="AI155" s="607">
        <v>2.69</v>
      </c>
      <c r="AJ155" s="607">
        <v>24676.91</v>
      </c>
      <c r="AK155" s="148"/>
      <c r="AL155" s="148"/>
      <c r="AM155" s="148"/>
      <c r="AN155" s="607"/>
      <c r="AO155" s="607"/>
      <c r="AP155" s="148"/>
      <c r="AQ155" s="168">
        <v>6650.0999999999985</v>
      </c>
      <c r="AR155" s="238">
        <v>66294.11</v>
      </c>
      <c r="AU155" s="633">
        <f t="shared" si="13"/>
        <v>0</v>
      </c>
      <c r="AX155" s="358">
        <v>149</v>
      </c>
      <c r="AY155" s="301" t="s">
        <v>189</v>
      </c>
      <c r="AZ155" s="139" t="s">
        <v>190</v>
      </c>
      <c r="BA155" s="633">
        <f t="shared" si="12"/>
        <v>0</v>
      </c>
      <c r="BC155" s="196">
        <v>149</v>
      </c>
      <c r="BD155" s="73" t="s">
        <v>189</v>
      </c>
      <c r="BE155" s="139" t="s">
        <v>190</v>
      </c>
      <c r="BF155" s="168">
        <v>6650.0999999999985</v>
      </c>
      <c r="BG155" s="168">
        <v>66382.11</v>
      </c>
    </row>
    <row r="156" spans="1:59">
      <c r="A156" s="139" t="s">
        <v>465</v>
      </c>
      <c r="B156" s="233" t="s">
        <v>464</v>
      </c>
      <c r="C156" s="233" t="str">
        <f t="shared" si="14"/>
        <v>23311 MARY M KNIGHT SCHOOL DISTRICT</v>
      </c>
      <c r="D156" s="607">
        <v>28268.51</v>
      </c>
      <c r="E156" s="607">
        <v>749.33</v>
      </c>
      <c r="F156" s="607"/>
      <c r="G156" s="607">
        <v>1677030.73</v>
      </c>
      <c r="H156" s="607">
        <v>331947.3</v>
      </c>
      <c r="I156" s="607">
        <v>58472.12</v>
      </c>
      <c r="J156" s="607">
        <v>189122.52</v>
      </c>
      <c r="K156" s="607">
        <v>42077.06</v>
      </c>
      <c r="L156" s="607">
        <v>25422.67</v>
      </c>
      <c r="M156" s="607">
        <v>602686.36</v>
      </c>
      <c r="N156" s="608">
        <v>2.4500000000000001E-2</v>
      </c>
      <c r="O156" s="608">
        <v>8.8200000000000001E-2</v>
      </c>
      <c r="P156" s="607"/>
      <c r="Q156" s="607"/>
      <c r="R156" s="607"/>
      <c r="S156" s="607"/>
      <c r="T156" s="607"/>
      <c r="U156" s="607"/>
      <c r="V156" s="607"/>
      <c r="W156" s="607"/>
      <c r="X156" s="607"/>
      <c r="Y156" s="607">
        <v>160.6</v>
      </c>
      <c r="Z156" s="607"/>
      <c r="AA156" s="607"/>
      <c r="AB156" s="607">
        <v>68244.490000000005</v>
      </c>
      <c r="AC156" s="607">
        <v>203497.91</v>
      </c>
      <c r="AD156" s="607">
        <v>18.66</v>
      </c>
      <c r="AE156" s="607">
        <v>175671.63</v>
      </c>
      <c r="AF156" s="148"/>
      <c r="AG156" s="148"/>
      <c r="AH156" s="148"/>
      <c r="AI156" s="607">
        <v>6.8</v>
      </c>
      <c r="AJ156" s="607">
        <v>62750.26</v>
      </c>
      <c r="AK156" s="148"/>
      <c r="AL156" s="148"/>
      <c r="AM156" s="148"/>
      <c r="AN156" s="607"/>
      <c r="AO156" s="607"/>
      <c r="AP156" s="148"/>
      <c r="AQ156" s="168">
        <v>84028.939999999988</v>
      </c>
      <c r="AR156" s="238">
        <v>44545.31</v>
      </c>
      <c r="AU156" s="633">
        <f t="shared" si="13"/>
        <v>0</v>
      </c>
      <c r="AX156" s="358">
        <v>150</v>
      </c>
      <c r="AY156" s="301" t="s">
        <v>464</v>
      </c>
      <c r="AZ156" s="139" t="s">
        <v>465</v>
      </c>
      <c r="BA156" s="633">
        <f t="shared" si="12"/>
        <v>0</v>
      </c>
      <c r="BC156" s="196">
        <v>150</v>
      </c>
      <c r="BD156" s="73" t="s">
        <v>464</v>
      </c>
      <c r="BE156" s="139" t="s">
        <v>465</v>
      </c>
      <c r="BF156" s="168">
        <v>84028.939999999988</v>
      </c>
      <c r="BG156" s="168">
        <v>30874.079999999998</v>
      </c>
    </row>
    <row r="157" spans="1:59">
      <c r="A157" s="139" t="s">
        <v>635</v>
      </c>
      <c r="B157" s="233" t="s">
        <v>634</v>
      </c>
      <c r="C157" s="233" t="str">
        <f t="shared" si="14"/>
        <v>33207 MARY WALKER SCHOOL DISTRICT</v>
      </c>
      <c r="D157" s="607">
        <v>100822.18</v>
      </c>
      <c r="E157" s="607"/>
      <c r="F157" s="607"/>
      <c r="G157" s="607">
        <v>1298244.44</v>
      </c>
      <c r="H157" s="607">
        <v>219428.17</v>
      </c>
      <c r="I157" s="607">
        <v>170110.8</v>
      </c>
      <c r="J157" s="607">
        <v>290481.57</v>
      </c>
      <c r="K157" s="607"/>
      <c r="L157" s="607"/>
      <c r="M157" s="607">
        <v>478728.27</v>
      </c>
      <c r="N157" s="608">
        <v>4.7E-2</v>
      </c>
      <c r="O157" s="608">
        <v>0.23039999999999999</v>
      </c>
      <c r="P157" s="607"/>
      <c r="Q157" s="607"/>
      <c r="R157" s="607"/>
      <c r="S157" s="607"/>
      <c r="T157" s="607"/>
      <c r="U157" s="607"/>
      <c r="V157" s="607"/>
      <c r="W157" s="607"/>
      <c r="X157" s="607"/>
      <c r="Y157" s="607">
        <v>413.79</v>
      </c>
      <c r="Z157" s="607"/>
      <c r="AA157" s="607"/>
      <c r="AB157" s="607"/>
      <c r="AC157" s="607">
        <v>211031.95</v>
      </c>
      <c r="AD157" s="607">
        <v>21.44</v>
      </c>
      <c r="AE157" s="607">
        <v>201896.02</v>
      </c>
      <c r="AF157" s="148"/>
      <c r="AG157" s="148"/>
      <c r="AH157" s="148"/>
      <c r="AI157" s="607"/>
      <c r="AJ157" s="607"/>
      <c r="AK157" s="148"/>
      <c r="AL157" s="148"/>
      <c r="AM157" s="148"/>
      <c r="AN157" s="607"/>
      <c r="AO157" s="607"/>
      <c r="AP157" s="148"/>
      <c r="AQ157" s="168">
        <v>42816.310000000005</v>
      </c>
      <c r="AR157" s="238">
        <v>55397.130000000005</v>
      </c>
      <c r="AU157" s="633">
        <f t="shared" si="13"/>
        <v>0</v>
      </c>
      <c r="AX157" s="358">
        <v>151</v>
      </c>
      <c r="AY157" s="301" t="s">
        <v>634</v>
      </c>
      <c r="AZ157" s="139" t="s">
        <v>635</v>
      </c>
      <c r="BA157" s="633">
        <f t="shared" si="12"/>
        <v>0</v>
      </c>
      <c r="BC157" s="196">
        <v>151</v>
      </c>
      <c r="BD157" s="73" t="s">
        <v>634</v>
      </c>
      <c r="BE157" s="139" t="s">
        <v>635</v>
      </c>
      <c r="BF157" s="168">
        <v>42816.310000000005</v>
      </c>
      <c r="BG157" s="168">
        <v>44448.3</v>
      </c>
    </row>
    <row r="158" spans="1:59">
      <c r="A158" s="139" t="s">
        <v>575</v>
      </c>
      <c r="B158" s="233" t="s">
        <v>574</v>
      </c>
      <c r="C158" s="233" t="str">
        <f t="shared" si="14"/>
        <v>31025 MARYSVILLE SCHOOL DISTRICT</v>
      </c>
      <c r="D158" s="607"/>
      <c r="E158" s="607">
        <v>376594.3</v>
      </c>
      <c r="F158" s="607">
        <v>220577.5</v>
      </c>
      <c r="G158" s="607">
        <v>29626851.199999999</v>
      </c>
      <c r="H158" s="607">
        <v>4187372.36</v>
      </c>
      <c r="I158" s="607">
        <v>2327527.64</v>
      </c>
      <c r="J158" s="607">
        <v>3811058.66</v>
      </c>
      <c r="K158" s="607">
        <v>2932783.43</v>
      </c>
      <c r="L158" s="607">
        <v>332139.52000000002</v>
      </c>
      <c r="M158" s="607">
        <v>9461193.2100000009</v>
      </c>
      <c r="N158" s="608">
        <v>3.8100000000000002E-2</v>
      </c>
      <c r="O158" s="608">
        <v>0.1351</v>
      </c>
      <c r="P158" s="607"/>
      <c r="Q158" s="607"/>
      <c r="R158" s="607"/>
      <c r="S158" s="607"/>
      <c r="T158" s="607"/>
      <c r="U158" s="607"/>
      <c r="V158" s="607"/>
      <c r="W158" s="607"/>
      <c r="X158" s="607"/>
      <c r="Y158" s="607">
        <v>7615.4</v>
      </c>
      <c r="Z158" s="607"/>
      <c r="AA158" s="607">
        <v>758350.71</v>
      </c>
      <c r="AB158" s="607">
        <v>1920338.88</v>
      </c>
      <c r="AC158" s="607">
        <v>7348531.9000000004</v>
      </c>
      <c r="AD158" s="607">
        <v>643.47</v>
      </c>
      <c r="AE158" s="607">
        <v>6803431.8600000003</v>
      </c>
      <c r="AF158" s="148"/>
      <c r="AG158" s="148"/>
      <c r="AH158" s="148"/>
      <c r="AI158" s="607">
        <v>172.91</v>
      </c>
      <c r="AJ158" s="607">
        <v>1797700.43</v>
      </c>
      <c r="AK158" s="148"/>
      <c r="AL158" s="148"/>
      <c r="AM158" s="148"/>
      <c r="AN158" s="607"/>
      <c r="AO158" s="607"/>
      <c r="AP158" s="148"/>
      <c r="AQ158" s="168">
        <v>33337.439999999478</v>
      </c>
      <c r="AR158" s="238">
        <v>1229360.8699999999</v>
      </c>
      <c r="AU158" s="633">
        <f t="shared" si="13"/>
        <v>0</v>
      </c>
      <c r="AX158" s="358">
        <v>152</v>
      </c>
      <c r="AY158" s="301" t="s">
        <v>574</v>
      </c>
      <c r="AZ158" s="139" t="s">
        <v>575</v>
      </c>
      <c r="BA158" s="633">
        <f t="shared" si="12"/>
        <v>0</v>
      </c>
      <c r="BC158" s="196">
        <v>152</v>
      </c>
      <c r="BD158" s="73" t="s">
        <v>574</v>
      </c>
      <c r="BE158" s="139" t="s">
        <v>575</v>
      </c>
      <c r="BF158" s="168">
        <v>33337.439999999478</v>
      </c>
      <c r="BG158" s="168">
        <v>1059807.1599999997</v>
      </c>
    </row>
    <row r="159" spans="1:59">
      <c r="A159" s="139" t="s">
        <v>304</v>
      </c>
      <c r="B159" s="233" t="s">
        <v>303</v>
      </c>
      <c r="C159" s="233" t="str">
        <f t="shared" si="14"/>
        <v>14065 MC CLEARY SCHOOL DISTRICT</v>
      </c>
      <c r="D159" s="607"/>
      <c r="E159" s="607"/>
      <c r="F159" s="607"/>
      <c r="G159" s="607">
        <v>922281.01</v>
      </c>
      <c r="H159" s="607">
        <v>147227.09</v>
      </c>
      <c r="I159" s="607">
        <v>100695.86</v>
      </c>
      <c r="J159" s="607">
        <v>137613.99</v>
      </c>
      <c r="K159" s="607">
        <v>3161.23</v>
      </c>
      <c r="L159" s="607">
        <v>9837.4699999999993</v>
      </c>
      <c r="M159" s="607">
        <v>253160.2</v>
      </c>
      <c r="N159" s="608">
        <v>5.11E-2</v>
      </c>
      <c r="O159" s="608">
        <v>0.20039999999999999</v>
      </c>
      <c r="P159" s="607"/>
      <c r="Q159" s="607"/>
      <c r="R159" s="607"/>
      <c r="S159" s="607"/>
      <c r="T159" s="607"/>
      <c r="U159" s="607"/>
      <c r="V159" s="607"/>
      <c r="W159" s="607"/>
      <c r="X159" s="607"/>
      <c r="Y159" s="607"/>
      <c r="Z159" s="607"/>
      <c r="AA159" s="607"/>
      <c r="AB159" s="607"/>
      <c r="AC159" s="607"/>
      <c r="AD159" s="607"/>
      <c r="AE159" s="607"/>
      <c r="AF159" s="148"/>
      <c r="AG159" s="148"/>
      <c r="AH159" s="148"/>
      <c r="AI159" s="607"/>
      <c r="AJ159" s="607"/>
      <c r="AK159" s="148"/>
      <c r="AL159" s="148"/>
      <c r="AM159" s="148"/>
      <c r="AN159" s="607"/>
      <c r="AO159" s="607"/>
      <c r="AP159" s="148"/>
      <c r="AQ159" s="168">
        <v>0</v>
      </c>
      <c r="AR159" s="238">
        <v>40405.17</v>
      </c>
      <c r="AU159" s="633">
        <f t="shared" si="13"/>
        <v>0</v>
      </c>
      <c r="AX159" s="358">
        <v>153</v>
      </c>
      <c r="AY159" s="301" t="s">
        <v>303</v>
      </c>
      <c r="AZ159" s="139" t="s">
        <v>304</v>
      </c>
      <c r="BA159" s="633">
        <f t="shared" si="12"/>
        <v>0</v>
      </c>
      <c r="BC159" s="196">
        <v>153</v>
      </c>
      <c r="BD159" s="73" t="s">
        <v>303</v>
      </c>
      <c r="BE159" s="139" t="s">
        <v>304</v>
      </c>
      <c r="BF159" s="168">
        <v>0</v>
      </c>
      <c r="BG159" s="168">
        <v>32382.67</v>
      </c>
    </row>
    <row r="160" spans="1:59">
      <c r="A160" s="139" t="s">
        <v>603</v>
      </c>
      <c r="B160" s="233" t="s">
        <v>602</v>
      </c>
      <c r="C160" s="233" t="str">
        <f t="shared" si="14"/>
        <v>32354 MEAD SCHOOL DISTRICT</v>
      </c>
      <c r="D160" s="607"/>
      <c r="E160" s="607">
        <v>176047.15</v>
      </c>
      <c r="F160" s="607"/>
      <c r="G160" s="607">
        <v>24331875.739999998</v>
      </c>
      <c r="H160" s="607">
        <v>4143274.36</v>
      </c>
      <c r="I160" s="607">
        <v>231790.35</v>
      </c>
      <c r="J160" s="607">
        <v>2752453.18</v>
      </c>
      <c r="K160" s="607">
        <v>806608.36</v>
      </c>
      <c r="L160" s="607">
        <v>333512.92</v>
      </c>
      <c r="M160" s="607">
        <v>7231660.1299999999</v>
      </c>
      <c r="N160" s="608">
        <v>3.6499999999999998E-2</v>
      </c>
      <c r="O160" s="608">
        <v>0.14530000000000001</v>
      </c>
      <c r="P160" s="607"/>
      <c r="Q160" s="607"/>
      <c r="R160" s="607"/>
      <c r="S160" s="607"/>
      <c r="T160" s="607"/>
      <c r="U160" s="607"/>
      <c r="V160" s="607"/>
      <c r="W160" s="607"/>
      <c r="X160" s="607"/>
      <c r="Y160" s="607">
        <v>7034.45</v>
      </c>
      <c r="Z160" s="607"/>
      <c r="AA160" s="607">
        <v>144268.51</v>
      </c>
      <c r="AB160" s="607">
        <v>3594449.17</v>
      </c>
      <c r="AC160" s="607">
        <v>5434685.9400000004</v>
      </c>
      <c r="AD160" s="607">
        <v>516.5</v>
      </c>
      <c r="AE160" s="607">
        <v>4960895.0599999996</v>
      </c>
      <c r="AF160" s="148"/>
      <c r="AG160" s="148"/>
      <c r="AH160" s="148"/>
      <c r="AI160" s="607">
        <v>355.82</v>
      </c>
      <c r="AJ160" s="607">
        <v>3353357.57</v>
      </c>
      <c r="AK160" s="148"/>
      <c r="AL160" s="148"/>
      <c r="AM160" s="148"/>
      <c r="AN160" s="607"/>
      <c r="AO160" s="607"/>
      <c r="AP160" s="148"/>
      <c r="AQ160" s="168">
        <v>0</v>
      </c>
      <c r="AR160" s="238">
        <v>1084860.6800000004</v>
      </c>
      <c r="AU160" s="633">
        <f t="shared" si="13"/>
        <v>0</v>
      </c>
      <c r="AX160" s="358">
        <v>154</v>
      </c>
      <c r="AY160" s="301" t="s">
        <v>602</v>
      </c>
      <c r="AZ160" s="139" t="s">
        <v>603</v>
      </c>
      <c r="BA160" s="633">
        <f t="shared" si="12"/>
        <v>0</v>
      </c>
      <c r="BC160" s="196">
        <v>154</v>
      </c>
      <c r="BD160" s="73" t="s">
        <v>602</v>
      </c>
      <c r="BE160" s="139" t="s">
        <v>603</v>
      </c>
      <c r="BF160" s="168">
        <v>0</v>
      </c>
      <c r="BG160" s="168">
        <v>890426.72999999986</v>
      </c>
    </row>
    <row r="161" spans="1:59">
      <c r="A161" s="139" t="s">
        <v>601</v>
      </c>
      <c r="B161" s="233" t="s">
        <v>600</v>
      </c>
      <c r="C161" s="233" t="str">
        <f t="shared" si="14"/>
        <v>32326 MEDICAL LAKE SCHOOL DISTRICT</v>
      </c>
      <c r="D161" s="607"/>
      <c r="E161" s="607"/>
      <c r="F161" s="607"/>
      <c r="G161" s="607">
        <v>3220064.79</v>
      </c>
      <c r="H161" s="607">
        <v>497682.65</v>
      </c>
      <c r="I161" s="607"/>
      <c r="J161" s="607">
        <v>494857.69</v>
      </c>
      <c r="K161" s="607">
        <v>48181.51</v>
      </c>
      <c r="L161" s="607">
        <v>53940.26</v>
      </c>
      <c r="M161" s="607">
        <v>1364974.15</v>
      </c>
      <c r="N161" s="608">
        <v>4.41E-2</v>
      </c>
      <c r="O161" s="608">
        <v>0.2102</v>
      </c>
      <c r="P161" s="607"/>
      <c r="Q161" s="607"/>
      <c r="R161" s="607"/>
      <c r="S161" s="607"/>
      <c r="T161" s="607"/>
      <c r="U161" s="607"/>
      <c r="V161" s="607">
        <v>231454.45</v>
      </c>
      <c r="W161" s="607"/>
      <c r="X161" s="607">
        <v>9809.7999999999993</v>
      </c>
      <c r="Y161" s="607">
        <v>1473.26</v>
      </c>
      <c r="Z161" s="607"/>
      <c r="AA161" s="607"/>
      <c r="AB161" s="607"/>
      <c r="AC161" s="607">
        <v>1062536.32</v>
      </c>
      <c r="AD161" s="607">
        <v>107.68</v>
      </c>
      <c r="AE161" s="607">
        <v>1014210.54</v>
      </c>
      <c r="AF161" s="148"/>
      <c r="AG161" s="148"/>
      <c r="AH161" s="148"/>
      <c r="AI161" s="607"/>
      <c r="AJ161" s="607"/>
      <c r="AK161" s="148"/>
      <c r="AL161" s="148"/>
      <c r="AM161" s="148"/>
      <c r="AN161" s="607"/>
      <c r="AO161" s="607"/>
      <c r="AP161" s="148"/>
      <c r="AQ161" s="168">
        <v>41525.879999999976</v>
      </c>
      <c r="AR161" s="238">
        <v>184565.31</v>
      </c>
      <c r="AU161" s="633">
        <f t="shared" si="13"/>
        <v>0</v>
      </c>
      <c r="AX161" s="358">
        <v>155</v>
      </c>
      <c r="AY161" s="301" t="s">
        <v>600</v>
      </c>
      <c r="AZ161" s="139" t="s">
        <v>601</v>
      </c>
      <c r="BA161" s="633">
        <f t="shared" si="12"/>
        <v>0</v>
      </c>
      <c r="BC161" s="196">
        <v>155</v>
      </c>
      <c r="BD161" s="73" t="s">
        <v>600</v>
      </c>
      <c r="BE161" s="139" t="s">
        <v>601</v>
      </c>
      <c r="BF161" s="168">
        <v>41525.879999999976</v>
      </c>
      <c r="BG161" s="168">
        <v>158237.87</v>
      </c>
    </row>
    <row r="162" spans="1:59">
      <c r="A162" s="139" t="s">
        <v>345</v>
      </c>
      <c r="B162" s="233" t="s">
        <v>344</v>
      </c>
      <c r="C162" s="233" t="str">
        <f t="shared" si="14"/>
        <v>17400 MERCER ISLAND SCHOOL DISTRICT</v>
      </c>
      <c r="D162" s="607"/>
      <c r="E162" s="607"/>
      <c r="F162" s="607"/>
      <c r="G162" s="607">
        <v>7764419.7300000004</v>
      </c>
      <c r="H162" s="607">
        <v>1031204.04</v>
      </c>
      <c r="I162" s="607"/>
      <c r="J162" s="607">
        <v>199742.89</v>
      </c>
      <c r="K162" s="607">
        <v>386173.94</v>
      </c>
      <c r="L162" s="607">
        <v>142090.42000000001</v>
      </c>
      <c r="M162" s="607">
        <v>2543578.7999999998</v>
      </c>
      <c r="N162" s="608">
        <v>3.5200000000000002E-2</v>
      </c>
      <c r="O162" s="608">
        <v>0.14979999999999999</v>
      </c>
      <c r="P162" s="607"/>
      <c r="Q162" s="607"/>
      <c r="R162" s="607"/>
      <c r="S162" s="607"/>
      <c r="T162" s="607"/>
      <c r="U162" s="607"/>
      <c r="V162" s="607"/>
      <c r="W162" s="607"/>
      <c r="X162" s="607"/>
      <c r="Y162" s="607"/>
      <c r="Z162" s="607"/>
      <c r="AA162" s="607"/>
      <c r="AB162" s="607">
        <v>295292.57</v>
      </c>
      <c r="AC162" s="607">
        <v>3254457.09</v>
      </c>
      <c r="AD162" s="607">
        <v>287.62</v>
      </c>
      <c r="AE162" s="607">
        <v>3041051.32</v>
      </c>
      <c r="AF162" s="148"/>
      <c r="AG162" s="148"/>
      <c r="AH162" s="148"/>
      <c r="AI162" s="607">
        <v>26.5</v>
      </c>
      <c r="AJ162" s="607">
        <v>275472.36</v>
      </c>
      <c r="AK162" s="148"/>
      <c r="AL162" s="148"/>
      <c r="AM162" s="148"/>
      <c r="AN162" s="607"/>
      <c r="AO162" s="607"/>
      <c r="AP162" s="148"/>
      <c r="AQ162" s="168">
        <v>0</v>
      </c>
      <c r="AR162" s="238">
        <v>436231.06</v>
      </c>
      <c r="AU162" s="633">
        <f t="shared" si="13"/>
        <v>0</v>
      </c>
      <c r="AX162" s="358">
        <v>156</v>
      </c>
      <c r="AY162" s="301" t="s">
        <v>344</v>
      </c>
      <c r="AZ162" s="139" t="s">
        <v>345</v>
      </c>
      <c r="BA162" s="633">
        <f t="shared" si="12"/>
        <v>0</v>
      </c>
      <c r="BC162" s="196">
        <v>156</v>
      </c>
      <c r="BD162" s="73" t="s">
        <v>344</v>
      </c>
      <c r="BE162" s="139" t="s">
        <v>345</v>
      </c>
      <c r="BF162" s="168">
        <v>0</v>
      </c>
      <c r="BG162" s="168">
        <v>403344.07</v>
      </c>
    </row>
    <row r="163" spans="1:59">
      <c r="A163" s="139" t="s">
        <v>680</v>
      </c>
      <c r="B163" s="233" t="s">
        <v>679</v>
      </c>
      <c r="C163" s="233" t="str">
        <f t="shared" si="14"/>
        <v>37505 MERIDIAN SCHOOL DISTRICT</v>
      </c>
      <c r="D163" s="607"/>
      <c r="E163" s="607">
        <v>55417.120000000003</v>
      </c>
      <c r="F163" s="607"/>
      <c r="G163" s="607">
        <v>4262863.26</v>
      </c>
      <c r="H163" s="607">
        <v>580141.36</v>
      </c>
      <c r="I163" s="607"/>
      <c r="J163" s="607">
        <v>599515.92000000004</v>
      </c>
      <c r="K163" s="607">
        <v>533909.25</v>
      </c>
      <c r="L163" s="607">
        <v>64838.89</v>
      </c>
      <c r="M163" s="607">
        <v>1540278.8</v>
      </c>
      <c r="N163" s="597">
        <v>5.79E-2</v>
      </c>
      <c r="O163" s="608">
        <v>0.2447</v>
      </c>
      <c r="P163" s="607"/>
      <c r="Q163" s="607"/>
      <c r="R163" s="607"/>
      <c r="S163" s="607"/>
      <c r="T163" s="607"/>
      <c r="U163" s="607"/>
      <c r="V163" s="607"/>
      <c r="W163" s="607"/>
      <c r="X163" s="607"/>
      <c r="Y163" s="607">
        <v>1594.53</v>
      </c>
      <c r="Z163" s="607"/>
      <c r="AA163" s="607">
        <v>11312.18</v>
      </c>
      <c r="AB163" s="607"/>
      <c r="AC163" s="607">
        <v>729849.75</v>
      </c>
      <c r="AD163" s="607">
        <v>64.75</v>
      </c>
      <c r="AE163" s="607">
        <v>659722.05000000005</v>
      </c>
      <c r="AF163" s="148"/>
      <c r="AG163" s="148"/>
      <c r="AH163" s="148"/>
      <c r="AI163" s="607"/>
      <c r="AJ163" s="607"/>
      <c r="AK163" s="148"/>
      <c r="AL163" s="148"/>
      <c r="AM163" s="148"/>
      <c r="AN163" s="607"/>
      <c r="AO163" s="607"/>
      <c r="AP163" s="148"/>
      <c r="AQ163" s="168">
        <v>0</v>
      </c>
      <c r="AR163" s="238">
        <v>201293.94999999998</v>
      </c>
      <c r="AU163" s="633">
        <f t="shared" si="13"/>
        <v>0</v>
      </c>
      <c r="AX163" s="358">
        <v>157</v>
      </c>
      <c r="AY163" s="301" t="s">
        <v>679</v>
      </c>
      <c r="AZ163" s="139" t="s">
        <v>680</v>
      </c>
      <c r="BA163" s="633">
        <f t="shared" si="12"/>
        <v>0</v>
      </c>
      <c r="BC163" s="196">
        <v>157</v>
      </c>
      <c r="BD163" s="73" t="s">
        <v>679</v>
      </c>
      <c r="BE163" s="139" t="s">
        <v>680</v>
      </c>
      <c r="BF163" s="168">
        <v>0</v>
      </c>
      <c r="BG163" s="168">
        <v>176206.78</v>
      </c>
    </row>
    <row r="164" spans="1:59">
      <c r="A164" s="139" t="s">
        <v>483</v>
      </c>
      <c r="B164" s="233" t="s">
        <v>482</v>
      </c>
      <c r="C164" s="233" t="str">
        <f t="shared" si="14"/>
        <v>24350 METHOW VALLEY SCHOOL DISTRICT</v>
      </c>
      <c r="D164" s="607"/>
      <c r="E164" s="607"/>
      <c r="F164" s="607"/>
      <c r="G164" s="607"/>
      <c r="H164" s="607">
        <v>203178.91</v>
      </c>
      <c r="I164" s="607">
        <v>11053.34</v>
      </c>
      <c r="J164" s="607">
        <v>212445.05</v>
      </c>
      <c r="K164" s="607">
        <v>34991.56</v>
      </c>
      <c r="L164" s="607">
        <v>23764.66</v>
      </c>
      <c r="M164" s="607">
        <v>893215.41</v>
      </c>
      <c r="N164" s="608">
        <v>4.02E-2</v>
      </c>
      <c r="O164" s="608">
        <v>0.21010000000000001</v>
      </c>
      <c r="P164" s="607"/>
      <c r="Q164" s="607"/>
      <c r="R164" s="607"/>
      <c r="S164" s="607"/>
      <c r="T164" s="607"/>
      <c r="U164" s="607"/>
      <c r="V164" s="607"/>
      <c r="W164" s="607"/>
      <c r="X164" s="607"/>
      <c r="Y164" s="607">
        <v>635.03</v>
      </c>
      <c r="Z164" s="607"/>
      <c r="AA164" s="607"/>
      <c r="AB164" s="607">
        <v>149900.04</v>
      </c>
      <c r="AC164" s="607">
        <v>514546.34</v>
      </c>
      <c r="AD164" s="607">
        <v>51.72</v>
      </c>
      <c r="AE164" s="607">
        <v>487012.58</v>
      </c>
      <c r="AF164" s="148"/>
      <c r="AG164" s="148"/>
      <c r="AH164" s="148"/>
      <c r="AI164" s="607">
        <v>15.19</v>
      </c>
      <c r="AJ164" s="607">
        <v>140470.95000000001</v>
      </c>
      <c r="AK164" s="148"/>
      <c r="AL164" s="148"/>
      <c r="AM164" s="148"/>
      <c r="AN164" s="607"/>
      <c r="AO164" s="607"/>
      <c r="AP164" s="148"/>
      <c r="AQ164" s="168">
        <v>0</v>
      </c>
      <c r="AR164" s="238">
        <v>67422.600000000006</v>
      </c>
      <c r="AU164" s="633">
        <f t="shared" si="13"/>
        <v>0</v>
      </c>
      <c r="AX164" s="358">
        <v>158</v>
      </c>
      <c r="AY164" s="301" t="s">
        <v>482</v>
      </c>
      <c r="AZ164" s="139" t="s">
        <v>483</v>
      </c>
      <c r="BA164" s="633">
        <f t="shared" si="12"/>
        <v>0</v>
      </c>
      <c r="BC164" s="196">
        <v>158</v>
      </c>
      <c r="BD164" s="73" t="s">
        <v>482</v>
      </c>
      <c r="BE164" s="139" t="s">
        <v>483</v>
      </c>
      <c r="BF164" s="168">
        <v>0</v>
      </c>
      <c r="BG164" s="168">
        <v>67509.210000000006</v>
      </c>
    </row>
    <row r="165" spans="1:59">
      <c r="A165" s="139" t="s">
        <v>561</v>
      </c>
      <c r="B165" s="233" t="s">
        <v>560</v>
      </c>
      <c r="C165" s="233" t="str">
        <f t="shared" si="14"/>
        <v>30031 MILL A SCHOOL DISTRICT</v>
      </c>
      <c r="D165" s="607"/>
      <c r="E165" s="607"/>
      <c r="F165" s="607"/>
      <c r="G165" s="607"/>
      <c r="H165" s="607">
        <v>15800.32</v>
      </c>
      <c r="I165" s="607"/>
      <c r="J165" s="607">
        <v>15585.19</v>
      </c>
      <c r="K165" s="607"/>
      <c r="L165" s="607">
        <v>1658</v>
      </c>
      <c r="M165" s="607">
        <v>145384.51</v>
      </c>
      <c r="N165" s="608">
        <v>1.5699999999999999E-2</v>
      </c>
      <c r="O165" s="608">
        <v>0.33239999999999997</v>
      </c>
      <c r="P165" s="607"/>
      <c r="Q165" s="607"/>
      <c r="R165" s="607"/>
      <c r="S165" s="607"/>
      <c r="T165" s="607"/>
      <c r="U165" s="607"/>
      <c r="V165" s="607"/>
      <c r="W165" s="607"/>
      <c r="X165" s="607"/>
      <c r="Y165" s="607">
        <v>31.14</v>
      </c>
      <c r="Z165" s="607"/>
      <c r="AA165" s="607"/>
      <c r="AB165" s="607"/>
      <c r="AC165" s="607">
        <v>1598.38</v>
      </c>
      <c r="AD165" s="607">
        <v>0.16</v>
      </c>
      <c r="AE165" s="607">
        <v>1501.04</v>
      </c>
      <c r="AF165" s="148"/>
      <c r="AG165" s="148"/>
      <c r="AH165" s="148"/>
      <c r="AI165" s="607"/>
      <c r="AJ165" s="607"/>
      <c r="AK165" s="148"/>
      <c r="AL165" s="148"/>
      <c r="AM165" s="148"/>
      <c r="AN165" s="607"/>
      <c r="AO165" s="607"/>
      <c r="AP165" s="148"/>
      <c r="AQ165" s="168">
        <v>68761.780000000013</v>
      </c>
      <c r="AR165" s="238">
        <v>19790.64</v>
      </c>
      <c r="AU165" s="633">
        <f t="shared" si="13"/>
        <v>0</v>
      </c>
      <c r="AX165" s="358">
        <v>159</v>
      </c>
      <c r="AY165" s="301" t="s">
        <v>560</v>
      </c>
      <c r="AZ165" s="139" t="s">
        <v>561</v>
      </c>
      <c r="BA165" s="633">
        <f t="shared" si="12"/>
        <v>0</v>
      </c>
      <c r="BC165" s="196">
        <v>159</v>
      </c>
      <c r="BD165" s="73" t="s">
        <v>560</v>
      </c>
      <c r="BE165" s="139" t="s">
        <v>561</v>
      </c>
      <c r="BF165" s="168">
        <v>68761.780000000013</v>
      </c>
      <c r="BG165" s="168">
        <v>19877.84</v>
      </c>
    </row>
    <row r="166" spans="1:59">
      <c r="A166" s="139" t="s">
        <v>579</v>
      </c>
      <c r="B166" s="233" t="s">
        <v>578</v>
      </c>
      <c r="C166" s="233" t="str">
        <f t="shared" si="14"/>
        <v>31103 MONROE SCHOOL DISTRICT</v>
      </c>
      <c r="D166" s="607"/>
      <c r="E166" s="607">
        <v>131340.49</v>
      </c>
      <c r="F166" s="607"/>
      <c r="G166" s="607">
        <v>13955135.699999999</v>
      </c>
      <c r="H166" s="607">
        <v>1966693.41</v>
      </c>
      <c r="I166" s="607">
        <v>217217.2</v>
      </c>
      <c r="J166" s="607">
        <v>1702916.57</v>
      </c>
      <c r="K166" s="607">
        <v>1656648.42</v>
      </c>
      <c r="L166" s="607">
        <v>205355.08</v>
      </c>
      <c r="M166" s="607">
        <v>4625439.84</v>
      </c>
      <c r="N166" s="608">
        <v>4.0399999999999998E-2</v>
      </c>
      <c r="O166" s="608">
        <v>0.1681</v>
      </c>
      <c r="P166" s="607"/>
      <c r="Q166" s="607"/>
      <c r="R166" s="607"/>
      <c r="S166" s="607"/>
      <c r="T166" s="607"/>
      <c r="U166" s="607"/>
      <c r="V166" s="607"/>
      <c r="W166" s="607"/>
      <c r="X166" s="607"/>
      <c r="Y166" s="607">
        <v>4891.75</v>
      </c>
      <c r="Z166" s="607"/>
      <c r="AA166" s="607">
        <v>2577.08</v>
      </c>
      <c r="AB166" s="607">
        <v>835064.19</v>
      </c>
      <c r="AC166" s="607">
        <v>3505378.03</v>
      </c>
      <c r="AD166" s="607">
        <v>299.39999999999998</v>
      </c>
      <c r="AE166" s="607">
        <v>3165618.98</v>
      </c>
      <c r="AF166" s="148"/>
      <c r="AG166" s="148"/>
      <c r="AH166" s="148"/>
      <c r="AI166" s="607">
        <v>75.37</v>
      </c>
      <c r="AJ166" s="607">
        <v>783487.6</v>
      </c>
      <c r="AK166" s="148"/>
      <c r="AL166" s="148"/>
      <c r="AM166" s="148"/>
      <c r="AN166" s="607"/>
      <c r="AO166" s="607"/>
      <c r="AP166" s="148"/>
      <c r="AQ166" s="168">
        <v>0</v>
      </c>
      <c r="AR166" s="238">
        <v>601796.48</v>
      </c>
      <c r="AU166" s="633">
        <f t="shared" si="13"/>
        <v>0</v>
      </c>
      <c r="AX166" s="358">
        <v>160</v>
      </c>
      <c r="AY166" s="301" t="s">
        <v>578</v>
      </c>
      <c r="AZ166" s="139" t="s">
        <v>579</v>
      </c>
      <c r="BA166" s="633">
        <f t="shared" si="12"/>
        <v>0</v>
      </c>
      <c r="BC166" s="196">
        <v>160</v>
      </c>
      <c r="BD166" s="73" t="s">
        <v>578</v>
      </c>
      <c r="BE166" s="139" t="s">
        <v>579</v>
      </c>
      <c r="BF166" s="168">
        <v>0</v>
      </c>
      <c r="BG166" s="168">
        <v>522633.74</v>
      </c>
    </row>
    <row r="167" spans="1:59">
      <c r="A167" s="139" t="s">
        <v>306</v>
      </c>
      <c r="B167" s="233" t="s">
        <v>305</v>
      </c>
      <c r="C167" s="233" t="str">
        <f t="shared" si="14"/>
        <v>14066 MONTESANO SCHOOL DISTRICT</v>
      </c>
      <c r="D167" s="607"/>
      <c r="E167" s="607"/>
      <c r="F167" s="607"/>
      <c r="G167" s="607">
        <v>3008712.7</v>
      </c>
      <c r="H167" s="607">
        <v>524706.13</v>
      </c>
      <c r="I167" s="607"/>
      <c r="J167" s="607">
        <v>422663.06</v>
      </c>
      <c r="K167" s="607">
        <v>69772.3</v>
      </c>
      <c r="L167" s="607">
        <v>45146.54</v>
      </c>
      <c r="M167" s="607">
        <v>613966.92000000004</v>
      </c>
      <c r="N167" s="608">
        <v>1.6799999999999999E-2</v>
      </c>
      <c r="O167" s="608">
        <v>0.1414</v>
      </c>
      <c r="P167" s="607"/>
      <c r="Q167" s="607"/>
      <c r="R167" s="607"/>
      <c r="S167" s="607"/>
      <c r="T167" s="607"/>
      <c r="U167" s="607"/>
      <c r="V167" s="607"/>
      <c r="W167" s="607"/>
      <c r="X167" s="607"/>
      <c r="Y167" s="607">
        <v>1163.53</v>
      </c>
      <c r="Z167" s="607">
        <v>5384.06</v>
      </c>
      <c r="AA167" s="607">
        <v>109170.46</v>
      </c>
      <c r="AB167" s="607">
        <v>291199.2</v>
      </c>
      <c r="AC167" s="607">
        <v>1333981.33</v>
      </c>
      <c r="AD167" s="607">
        <v>119.31</v>
      </c>
      <c r="AE167" s="607">
        <v>1146027.05</v>
      </c>
      <c r="AF167" s="148"/>
      <c r="AG167" s="148"/>
      <c r="AH167" s="148"/>
      <c r="AI167" s="607">
        <v>28.26</v>
      </c>
      <c r="AJ167" s="607">
        <v>266485.07</v>
      </c>
      <c r="AK167" s="148"/>
      <c r="AL167" s="148"/>
      <c r="AM167" s="148"/>
      <c r="AN167" s="607">
        <v>3741.25</v>
      </c>
      <c r="AO167" s="607"/>
      <c r="AP167" s="148"/>
      <c r="AQ167" s="168">
        <v>0</v>
      </c>
      <c r="AR167" s="238">
        <v>155256.97999999998</v>
      </c>
      <c r="AU167" s="633">
        <f t="shared" si="13"/>
        <v>0</v>
      </c>
      <c r="AX167" s="358">
        <v>161</v>
      </c>
      <c r="AY167" s="301" t="s">
        <v>305</v>
      </c>
      <c r="AZ167" s="139" t="s">
        <v>306</v>
      </c>
      <c r="BA167" s="633">
        <f t="shared" si="12"/>
        <v>0</v>
      </c>
      <c r="BC167" s="196">
        <v>161</v>
      </c>
      <c r="BD167" s="73" t="s">
        <v>305</v>
      </c>
      <c r="BE167" s="139" t="s">
        <v>306</v>
      </c>
      <c r="BF167" s="168">
        <v>0</v>
      </c>
      <c r="BG167" s="168">
        <v>130726.62000000001</v>
      </c>
    </row>
    <row r="168" spans="1:59">
      <c r="A168" s="139" t="s">
        <v>423</v>
      </c>
      <c r="B168" s="233" t="s">
        <v>422</v>
      </c>
      <c r="C168" s="233" t="str">
        <f t="shared" si="14"/>
        <v>21214 MORTON SCHOOL DISTRICT</v>
      </c>
      <c r="D168" s="607"/>
      <c r="E168" s="607"/>
      <c r="F168" s="607"/>
      <c r="G168" s="607">
        <v>1000380</v>
      </c>
      <c r="H168" s="607">
        <v>117313.59</v>
      </c>
      <c r="I168" s="607">
        <v>127776.52</v>
      </c>
      <c r="J168" s="607">
        <v>170884.51</v>
      </c>
      <c r="K168" s="607"/>
      <c r="L168" s="607">
        <v>12379.74</v>
      </c>
      <c r="M168" s="607">
        <v>395467.3</v>
      </c>
      <c r="N168" s="608">
        <v>1.5599999999999999E-2</v>
      </c>
      <c r="O168" s="608">
        <v>0.24859999999999999</v>
      </c>
      <c r="P168" s="607"/>
      <c r="Q168" s="607"/>
      <c r="R168" s="607"/>
      <c r="S168" s="607"/>
      <c r="T168" s="607"/>
      <c r="U168" s="607"/>
      <c r="V168" s="607"/>
      <c r="W168" s="607"/>
      <c r="X168" s="607"/>
      <c r="Y168" s="607">
        <v>308.08999999999997</v>
      </c>
      <c r="Z168" s="607"/>
      <c r="AA168" s="607">
        <v>70803.509999999995</v>
      </c>
      <c r="AB168" s="607">
        <v>532435.86</v>
      </c>
      <c r="AC168" s="607">
        <v>936758.14</v>
      </c>
      <c r="AD168" s="607">
        <v>91.92</v>
      </c>
      <c r="AE168" s="607">
        <v>865845.07</v>
      </c>
      <c r="AF168" s="148"/>
      <c r="AG168" s="148"/>
      <c r="AH168" s="148"/>
      <c r="AI168" s="607">
        <v>52.65</v>
      </c>
      <c r="AJ168" s="607">
        <v>486397.72</v>
      </c>
      <c r="AK168" s="148"/>
      <c r="AL168" s="148"/>
      <c r="AM168" s="148"/>
      <c r="AN168" s="607"/>
      <c r="AO168" s="607"/>
      <c r="AP168" s="148"/>
      <c r="AQ168" s="168">
        <v>1235.3899999999921</v>
      </c>
      <c r="AR168" s="238">
        <v>51232.2</v>
      </c>
      <c r="AU168" s="633">
        <f t="shared" si="13"/>
        <v>0</v>
      </c>
      <c r="AX168" s="358">
        <v>162</v>
      </c>
      <c r="AY168" s="301" t="s">
        <v>422</v>
      </c>
      <c r="AZ168" s="139" t="s">
        <v>423</v>
      </c>
      <c r="BA168" s="633">
        <f t="shared" si="12"/>
        <v>0</v>
      </c>
      <c r="BC168" s="196">
        <v>162</v>
      </c>
      <c r="BD168" s="73" t="s">
        <v>422</v>
      </c>
      <c r="BE168" s="139" t="s">
        <v>423</v>
      </c>
      <c r="BF168" s="168">
        <v>1235.3899999999921</v>
      </c>
      <c r="BG168" s="168">
        <v>47766.03</v>
      </c>
    </row>
    <row r="169" spans="1:59">
      <c r="A169" s="139" t="s">
        <v>290</v>
      </c>
      <c r="B169" s="233" t="s">
        <v>289</v>
      </c>
      <c r="C169" s="233" t="str">
        <f t="shared" si="14"/>
        <v>13161 MOSES LAKE SCHOOL DISTRICT</v>
      </c>
      <c r="D169" s="607"/>
      <c r="E169" s="607">
        <v>353626.81</v>
      </c>
      <c r="F169" s="607">
        <v>163581.64000000001</v>
      </c>
      <c r="G169" s="607">
        <v>18308076.949999999</v>
      </c>
      <c r="H169" s="607">
        <v>3086006.83</v>
      </c>
      <c r="I169" s="607">
        <v>2397136.21</v>
      </c>
      <c r="J169" s="607">
        <v>3779908.07</v>
      </c>
      <c r="K169" s="607">
        <v>2050439.79</v>
      </c>
      <c r="L169" s="607">
        <v>263953.58</v>
      </c>
      <c r="M169" s="607">
        <v>5650359.1200000001</v>
      </c>
      <c r="N169" s="608">
        <v>4.3E-3</v>
      </c>
      <c r="O169" s="608">
        <v>0.15190000000000001</v>
      </c>
      <c r="P169" s="607"/>
      <c r="Q169" s="607"/>
      <c r="R169" s="607"/>
      <c r="S169" s="607"/>
      <c r="T169" s="607"/>
      <c r="U169" s="607"/>
      <c r="V169" s="607"/>
      <c r="W169" s="607"/>
      <c r="X169" s="607"/>
      <c r="Y169" s="607">
        <v>5817.66</v>
      </c>
      <c r="Z169" s="607">
        <v>27998.98</v>
      </c>
      <c r="AA169" s="607">
        <v>251990.78</v>
      </c>
      <c r="AB169" s="607">
        <v>834555.81</v>
      </c>
      <c r="AC169" s="607">
        <v>6508906.9299999997</v>
      </c>
      <c r="AD169" s="607">
        <v>612.54</v>
      </c>
      <c r="AE169" s="607">
        <v>5769660.79</v>
      </c>
      <c r="AF169" s="148"/>
      <c r="AG169" s="148"/>
      <c r="AH169" s="148"/>
      <c r="AI169" s="607">
        <v>81.58</v>
      </c>
      <c r="AJ169" s="607">
        <v>753674.93</v>
      </c>
      <c r="AK169" s="148"/>
      <c r="AL169" s="148"/>
      <c r="AM169" s="148"/>
      <c r="AN169" s="607">
        <v>3472.69</v>
      </c>
      <c r="AO169" s="607"/>
      <c r="AP169" s="148"/>
      <c r="AQ169" s="168">
        <v>719989.71000000008</v>
      </c>
      <c r="AR169" s="238">
        <v>957855.59</v>
      </c>
      <c r="AU169" s="633">
        <f t="shared" si="13"/>
        <v>0</v>
      </c>
      <c r="AX169" s="358">
        <v>163</v>
      </c>
      <c r="AY169" s="301" t="s">
        <v>289</v>
      </c>
      <c r="AZ169" s="139" t="s">
        <v>290</v>
      </c>
      <c r="BA169" s="633">
        <f t="shared" si="12"/>
        <v>0</v>
      </c>
      <c r="BC169" s="196">
        <v>163</v>
      </c>
      <c r="BD169" s="73" t="s">
        <v>289</v>
      </c>
      <c r="BE169" s="139" t="s">
        <v>290</v>
      </c>
      <c r="BF169" s="168">
        <v>719989.71000000008</v>
      </c>
      <c r="BG169" s="168">
        <v>806151.32000000007</v>
      </c>
    </row>
    <row r="170" spans="1:59">
      <c r="A170" s="139" t="s">
        <v>421</v>
      </c>
      <c r="B170" s="233" t="s">
        <v>420</v>
      </c>
      <c r="C170" s="233" t="str">
        <f t="shared" si="14"/>
        <v>21206 MOSSYROCK SCHOOL DISTRICT</v>
      </c>
      <c r="D170" s="607"/>
      <c r="E170" s="607"/>
      <c r="F170" s="607">
        <v>19702.89</v>
      </c>
      <c r="G170" s="607">
        <v>1185737.93</v>
      </c>
      <c r="H170" s="607">
        <v>192787.83</v>
      </c>
      <c r="I170" s="607">
        <v>208797.46</v>
      </c>
      <c r="J170" s="607">
        <v>283849.57</v>
      </c>
      <c r="K170" s="607">
        <v>120126.77</v>
      </c>
      <c r="L170" s="607">
        <v>18238</v>
      </c>
      <c r="M170" s="607">
        <v>632286.66</v>
      </c>
      <c r="N170" s="608">
        <v>2.5100000000000001E-2</v>
      </c>
      <c r="O170" s="608">
        <v>0.16489999999999999</v>
      </c>
      <c r="P170" s="607"/>
      <c r="Q170" s="607"/>
      <c r="R170" s="607"/>
      <c r="S170" s="607"/>
      <c r="T170" s="607"/>
      <c r="U170" s="607"/>
      <c r="V170" s="607"/>
      <c r="W170" s="607"/>
      <c r="X170" s="607"/>
      <c r="Y170" s="607">
        <v>494.91</v>
      </c>
      <c r="Z170" s="607"/>
      <c r="AA170" s="607">
        <v>15440.11</v>
      </c>
      <c r="AB170" s="607">
        <v>115703.97</v>
      </c>
      <c r="AC170" s="607">
        <v>470742.31</v>
      </c>
      <c r="AD170" s="607">
        <v>43.32</v>
      </c>
      <c r="AE170" s="607">
        <v>408029.91</v>
      </c>
      <c r="AF170" s="148"/>
      <c r="AG170" s="148"/>
      <c r="AH170" s="148"/>
      <c r="AI170" s="607">
        <v>11.55</v>
      </c>
      <c r="AJ170" s="607">
        <v>106702.85</v>
      </c>
      <c r="AK170" s="148"/>
      <c r="AL170" s="148"/>
      <c r="AM170" s="148"/>
      <c r="AN170" s="607"/>
      <c r="AO170" s="607"/>
      <c r="AP170" s="148"/>
      <c r="AQ170" s="168">
        <v>0</v>
      </c>
      <c r="AR170" s="238">
        <v>74447.630000000019</v>
      </c>
      <c r="AU170" s="633">
        <f t="shared" si="13"/>
        <v>0</v>
      </c>
      <c r="AX170" s="358">
        <v>164</v>
      </c>
      <c r="AY170" s="301" t="s">
        <v>420</v>
      </c>
      <c r="AZ170" s="139" t="s">
        <v>421</v>
      </c>
      <c r="BA170" s="633">
        <f t="shared" si="12"/>
        <v>0</v>
      </c>
      <c r="BC170" s="196">
        <v>164</v>
      </c>
      <c r="BD170" s="73" t="s">
        <v>420</v>
      </c>
      <c r="BE170" s="139" t="s">
        <v>421</v>
      </c>
      <c r="BF170" s="168">
        <v>0</v>
      </c>
      <c r="BG170" s="168">
        <v>65443.890000000007</v>
      </c>
    </row>
    <row r="171" spans="1:59">
      <c r="A171" s="139" t="s">
        <v>738</v>
      </c>
      <c r="B171" s="233" t="s">
        <v>737</v>
      </c>
      <c r="C171" s="233" t="str">
        <f t="shared" si="14"/>
        <v>39209 MOUNT ADAMS SCHOOL DISTRICT</v>
      </c>
      <c r="D171" s="607"/>
      <c r="E171" s="607"/>
      <c r="F171" s="607"/>
      <c r="G171" s="607">
        <v>1307803.69</v>
      </c>
      <c r="H171" s="607">
        <v>214173.52</v>
      </c>
      <c r="I171" s="607">
        <v>268043.3</v>
      </c>
      <c r="J171" s="607">
        <v>581957.94999999995</v>
      </c>
      <c r="K171" s="607">
        <v>203408.86</v>
      </c>
      <c r="L171" s="607">
        <v>24870.01</v>
      </c>
      <c r="M171" s="607">
        <v>1114547.8799999999</v>
      </c>
      <c r="N171" s="608">
        <v>8.6900000000000005E-2</v>
      </c>
      <c r="O171" s="608">
        <v>0.25869999999999999</v>
      </c>
      <c r="P171" s="607"/>
      <c r="Q171" s="607"/>
      <c r="R171" s="607"/>
      <c r="S171" s="607"/>
      <c r="T171" s="607"/>
      <c r="U171" s="607"/>
      <c r="V171" s="607"/>
      <c r="W171" s="607"/>
      <c r="X171" s="607"/>
      <c r="Y171" s="607">
        <v>654.69000000000005</v>
      </c>
      <c r="Z171" s="607"/>
      <c r="AA171" s="607"/>
      <c r="AB171" s="607"/>
      <c r="AC171" s="607">
        <v>653988.59</v>
      </c>
      <c r="AD171" s="607">
        <v>66.849999999999994</v>
      </c>
      <c r="AE171" s="607">
        <v>629566.79</v>
      </c>
      <c r="AF171" s="148"/>
      <c r="AG171" s="148"/>
      <c r="AH171" s="148"/>
      <c r="AI171" s="607"/>
      <c r="AJ171" s="607"/>
      <c r="AK171" s="148"/>
      <c r="AL171" s="148"/>
      <c r="AM171" s="148"/>
      <c r="AN171" s="607">
        <v>5500</v>
      </c>
      <c r="AO171" s="607"/>
      <c r="AP171" s="148"/>
      <c r="AQ171" s="168">
        <v>0</v>
      </c>
      <c r="AR171" s="238">
        <v>95816.37</v>
      </c>
      <c r="AU171" s="633">
        <f t="shared" si="13"/>
        <v>0</v>
      </c>
      <c r="AX171" s="358">
        <v>165</v>
      </c>
      <c r="AY171" s="301" t="s">
        <v>737</v>
      </c>
      <c r="AZ171" s="139" t="s">
        <v>738</v>
      </c>
      <c r="BA171" s="633">
        <f t="shared" si="12"/>
        <v>0</v>
      </c>
      <c r="BC171" s="196">
        <v>165</v>
      </c>
      <c r="BD171" s="73" t="s">
        <v>737</v>
      </c>
      <c r="BE171" s="139" t="s">
        <v>738</v>
      </c>
      <c r="BF171" s="168">
        <v>0</v>
      </c>
      <c r="BG171" s="168">
        <v>84657.599999999991</v>
      </c>
    </row>
    <row r="172" spans="1:59">
      <c r="A172" s="139" t="s">
        <v>684</v>
      </c>
      <c r="B172" s="233" t="s">
        <v>683</v>
      </c>
      <c r="C172" s="233" t="str">
        <f t="shared" si="14"/>
        <v>37507 MOUNT BAKER SCHOOL DISTRICT</v>
      </c>
      <c r="D172" s="607"/>
      <c r="E172" s="607"/>
      <c r="F172" s="607"/>
      <c r="G172" s="607">
        <v>4612196.68</v>
      </c>
      <c r="H172" s="607">
        <v>647400.95999999996</v>
      </c>
      <c r="I172" s="607">
        <v>259719.21</v>
      </c>
      <c r="J172" s="607">
        <v>650750.57999999996</v>
      </c>
      <c r="K172" s="607">
        <v>167891.68</v>
      </c>
      <c r="L172" s="607">
        <v>49271.12</v>
      </c>
      <c r="M172" s="607">
        <v>2268369.84</v>
      </c>
      <c r="N172" s="608">
        <v>3.5400000000000001E-2</v>
      </c>
      <c r="O172" s="608">
        <v>0.16339999999999999</v>
      </c>
      <c r="P172" s="607"/>
      <c r="Q172" s="607"/>
      <c r="R172" s="607"/>
      <c r="S172" s="607"/>
      <c r="T172" s="607"/>
      <c r="U172" s="607"/>
      <c r="V172" s="607"/>
      <c r="W172" s="607"/>
      <c r="X172" s="607"/>
      <c r="Y172" s="607">
        <v>1259.4000000000001</v>
      </c>
      <c r="Z172" s="607"/>
      <c r="AA172" s="607"/>
      <c r="AB172" s="607">
        <v>58486.42</v>
      </c>
      <c r="AC172" s="607">
        <v>923672.2</v>
      </c>
      <c r="AD172" s="607">
        <v>86.68</v>
      </c>
      <c r="AE172" s="607">
        <v>849687.26</v>
      </c>
      <c r="AF172" s="148"/>
      <c r="AG172" s="148"/>
      <c r="AH172" s="148"/>
      <c r="AI172" s="607">
        <v>5.67</v>
      </c>
      <c r="AJ172" s="607">
        <v>54448.37</v>
      </c>
      <c r="AK172" s="148"/>
      <c r="AL172" s="148"/>
      <c r="AM172" s="148"/>
      <c r="AN172" s="607"/>
      <c r="AO172" s="607"/>
      <c r="AP172" s="148"/>
      <c r="AQ172" s="168">
        <v>396916.42999999982</v>
      </c>
      <c r="AR172" s="238">
        <v>172667.46000000002</v>
      </c>
      <c r="AU172" s="633">
        <f t="shared" si="13"/>
        <v>0</v>
      </c>
      <c r="AX172" s="358">
        <v>166</v>
      </c>
      <c r="AY172" s="301" t="s">
        <v>683</v>
      </c>
      <c r="AZ172" s="139" t="s">
        <v>684</v>
      </c>
      <c r="BA172" s="633">
        <f t="shared" si="12"/>
        <v>0</v>
      </c>
      <c r="BC172" s="196">
        <v>166</v>
      </c>
      <c r="BD172" s="73" t="s">
        <v>683</v>
      </c>
      <c r="BE172" s="139" t="s">
        <v>684</v>
      </c>
      <c r="BF172" s="168">
        <v>396916.42999999982</v>
      </c>
      <c r="BG172" s="168">
        <v>146350.90000000002</v>
      </c>
    </row>
    <row r="173" spans="1:59">
      <c r="A173" s="139" t="s">
        <v>559</v>
      </c>
      <c r="B173" s="233" t="s">
        <v>558</v>
      </c>
      <c r="C173" s="233" t="str">
        <f t="shared" si="14"/>
        <v>30029 MOUNT PLEASANT SCHOOL DISTRICT</v>
      </c>
      <c r="D173" s="607"/>
      <c r="E173" s="607"/>
      <c r="F173" s="607"/>
      <c r="G173" s="607"/>
      <c r="H173" s="607">
        <v>18058.62</v>
      </c>
      <c r="I173" s="607"/>
      <c r="J173" s="607">
        <v>15222.92</v>
      </c>
      <c r="K173" s="607"/>
      <c r="L173" s="607">
        <v>2440.3200000000002</v>
      </c>
      <c r="M173" s="607">
        <v>84983.5</v>
      </c>
      <c r="N173" s="608">
        <v>4.1599999999999998E-2</v>
      </c>
      <c r="O173" s="608">
        <v>0.29199999999999998</v>
      </c>
      <c r="P173" s="607"/>
      <c r="Q173" s="607"/>
      <c r="R173" s="607"/>
      <c r="S173" s="607"/>
      <c r="T173" s="607"/>
      <c r="U173" s="607"/>
      <c r="V173" s="607"/>
      <c r="W173" s="607"/>
      <c r="X173" s="607"/>
      <c r="Y173" s="607">
        <v>59</v>
      </c>
      <c r="Z173" s="607"/>
      <c r="AA173" s="607"/>
      <c r="AB173" s="607"/>
      <c r="AC173" s="607"/>
      <c r="AD173" s="607"/>
      <c r="AE173" s="607"/>
      <c r="AF173" s="148"/>
      <c r="AG173" s="148"/>
      <c r="AH173" s="148"/>
      <c r="AI173" s="607"/>
      <c r="AJ173" s="607"/>
      <c r="AK173" s="148"/>
      <c r="AL173" s="148"/>
      <c r="AM173" s="148"/>
      <c r="AN173" s="607"/>
      <c r="AO173" s="607"/>
      <c r="AP173" s="148"/>
      <c r="AQ173" s="168">
        <v>0</v>
      </c>
      <c r="AR173" s="238">
        <v>8649.76</v>
      </c>
      <c r="AU173" s="633">
        <f t="shared" si="13"/>
        <v>0</v>
      </c>
      <c r="AX173" s="358">
        <v>167</v>
      </c>
      <c r="AY173" s="301" t="s">
        <v>558</v>
      </c>
      <c r="AZ173" s="139" t="s">
        <v>559</v>
      </c>
      <c r="BA173" s="633">
        <f t="shared" si="12"/>
        <v>0</v>
      </c>
      <c r="BC173" s="196">
        <v>167</v>
      </c>
      <c r="BD173" s="73" t="s">
        <v>558</v>
      </c>
      <c r="BE173" s="139" t="s">
        <v>559</v>
      </c>
      <c r="BF173" s="168">
        <v>0</v>
      </c>
      <c r="BG173" s="168">
        <v>8750.0300000000007</v>
      </c>
    </row>
    <row r="174" spans="1:59">
      <c r="A174" s="139" t="s">
        <v>555</v>
      </c>
      <c r="B174" s="233" t="s">
        <v>554</v>
      </c>
      <c r="C174" s="233" t="str">
        <f t="shared" si="14"/>
        <v>29320 MT VERNON SCHOOL DISTRICT</v>
      </c>
      <c r="D174" s="607"/>
      <c r="E174" s="607">
        <v>327263.13</v>
      </c>
      <c r="F174" s="607">
        <v>100113.53</v>
      </c>
      <c r="G174" s="607">
        <v>16939304.079999998</v>
      </c>
      <c r="H174" s="607">
        <v>2540637.06</v>
      </c>
      <c r="I174" s="607">
        <v>2091054</v>
      </c>
      <c r="J174" s="607">
        <v>3220615.59</v>
      </c>
      <c r="K174" s="607">
        <v>3535916.81</v>
      </c>
      <c r="L174" s="607">
        <v>221695.35999999999</v>
      </c>
      <c r="M174" s="607">
        <v>4680061.0599999996</v>
      </c>
      <c r="N174" s="608">
        <v>4.3799999999999999E-2</v>
      </c>
      <c r="O174" s="608">
        <v>0.13850000000000001</v>
      </c>
      <c r="P174" s="607"/>
      <c r="Q174" s="607"/>
      <c r="R174" s="607"/>
      <c r="S174" s="607"/>
      <c r="T174" s="607"/>
      <c r="U174" s="607"/>
      <c r="V174" s="607"/>
      <c r="W174" s="607"/>
      <c r="X174" s="607"/>
      <c r="Y174" s="607"/>
      <c r="Z174" s="607"/>
      <c r="AA174" s="607">
        <v>322302.40000000002</v>
      </c>
      <c r="AB174" s="607">
        <v>353525.64</v>
      </c>
      <c r="AC174" s="607">
        <v>4150863</v>
      </c>
      <c r="AD174" s="607">
        <v>379.49</v>
      </c>
      <c r="AE174" s="607">
        <v>3866427.74</v>
      </c>
      <c r="AF174" s="148"/>
      <c r="AG174" s="148"/>
      <c r="AH174" s="148"/>
      <c r="AI174" s="607">
        <v>33.229999999999997</v>
      </c>
      <c r="AJ174" s="607">
        <v>332665.89</v>
      </c>
      <c r="AK174" s="148"/>
      <c r="AL174" s="148"/>
      <c r="AM174" s="148"/>
      <c r="AN174" s="607"/>
      <c r="AO174" s="607"/>
      <c r="AP174" s="148"/>
      <c r="AQ174" s="168">
        <v>0</v>
      </c>
      <c r="AR174" s="238">
        <v>829154.38000000012</v>
      </c>
      <c r="AU174" s="633">
        <f t="shared" si="13"/>
        <v>0</v>
      </c>
      <c r="AX174" s="358">
        <v>168</v>
      </c>
      <c r="AY174" s="301" t="s">
        <v>554</v>
      </c>
      <c r="AZ174" s="139" t="s">
        <v>555</v>
      </c>
      <c r="BA174" s="633">
        <f t="shared" si="12"/>
        <v>0</v>
      </c>
      <c r="BC174" s="196">
        <v>168</v>
      </c>
      <c r="BD174" s="73" t="s">
        <v>554</v>
      </c>
      <c r="BE174" s="139" t="s">
        <v>555</v>
      </c>
      <c r="BF174" s="168">
        <v>0</v>
      </c>
      <c r="BG174" s="168">
        <v>720497.37000000011</v>
      </c>
    </row>
    <row r="175" spans="1:59">
      <c r="A175" t="s">
        <v>1188</v>
      </c>
      <c r="B175" s="233" t="s">
        <v>1176</v>
      </c>
      <c r="C175" s="233" t="str">
        <f>CONCATENATE(B175," ",A175," TRIBAL COMPACT")</f>
        <v>17903 MUCKLESHOOT TRIBAL TRIBAL COMPACT</v>
      </c>
      <c r="D175" s="607"/>
      <c r="E175" s="607">
        <v>30602.41</v>
      </c>
      <c r="F175" s="607">
        <v>12795.49</v>
      </c>
      <c r="G175" s="607">
        <v>1670757.02</v>
      </c>
      <c r="H175" s="607">
        <v>314596.96000000002</v>
      </c>
      <c r="I175" s="607">
        <v>165997.29</v>
      </c>
      <c r="J175" s="607">
        <v>238514.46</v>
      </c>
      <c r="K175" s="607"/>
      <c r="L175" s="607"/>
      <c r="M175" s="607">
        <v>429464.97</v>
      </c>
      <c r="N175" s="608">
        <v>3.8699999999999998E-2</v>
      </c>
      <c r="O175" s="608">
        <v>0.1535</v>
      </c>
      <c r="P175" s="607"/>
      <c r="Q175" s="607"/>
      <c r="R175" s="607"/>
      <c r="S175" s="607"/>
      <c r="T175" s="607"/>
      <c r="U175" s="607"/>
      <c r="V175" s="607"/>
      <c r="W175" s="607"/>
      <c r="X175" s="607"/>
      <c r="Y175" s="607">
        <v>379.38</v>
      </c>
      <c r="Z175" s="607"/>
      <c r="AA175" s="607"/>
      <c r="AB175" s="607"/>
      <c r="AC175" s="607">
        <v>221959.69</v>
      </c>
      <c r="AD175" s="607">
        <v>20.75</v>
      </c>
      <c r="AE175" s="607">
        <v>211331.68</v>
      </c>
      <c r="AF175" s="148"/>
      <c r="AG175" s="148"/>
      <c r="AH175" s="148"/>
      <c r="AI175" s="607"/>
      <c r="AJ175" s="607"/>
      <c r="AK175" s="148"/>
      <c r="AL175" s="148"/>
      <c r="AM175" s="148"/>
      <c r="AN175" s="607"/>
      <c r="AO175" s="607"/>
      <c r="AP175" s="148"/>
      <c r="AQ175" s="168">
        <v>0</v>
      </c>
      <c r="AR175" s="238">
        <v>70191.55</v>
      </c>
      <c r="AU175" s="633">
        <f t="shared" si="13"/>
        <v>0</v>
      </c>
      <c r="AX175" s="358">
        <v>169</v>
      </c>
      <c r="AY175" s="309" t="s">
        <v>1176</v>
      </c>
      <c r="AZ175" t="s">
        <v>1188</v>
      </c>
      <c r="BA175" s="633">
        <f t="shared" si="12"/>
        <v>0</v>
      </c>
      <c r="BC175" s="196">
        <v>169</v>
      </c>
      <c r="BD175" s="73" t="s">
        <v>1176</v>
      </c>
      <c r="BE175" t="s">
        <v>1188</v>
      </c>
      <c r="BF175" s="168">
        <v>0</v>
      </c>
      <c r="BG175" s="168">
        <v>55586.35</v>
      </c>
    </row>
    <row r="176" spans="1:59">
      <c r="A176" s="139" t="s">
        <v>569</v>
      </c>
      <c r="B176" s="233" t="s">
        <v>568</v>
      </c>
      <c r="C176" s="233" t="str">
        <f t="shared" ref="C176:C217" si="15">CONCATENATE(B176," ",A176," SCHOOL DISTRICT")</f>
        <v>31006 MUKILTEO SCHOOL DISTRICT</v>
      </c>
      <c r="D176" s="607"/>
      <c r="E176" s="607">
        <v>593813.79</v>
      </c>
      <c r="F176" s="607">
        <v>157838.12</v>
      </c>
      <c r="G176" s="607">
        <v>38568791.670000002</v>
      </c>
      <c r="H176" s="607">
        <v>5602044.7599999998</v>
      </c>
      <c r="I176" s="607">
        <v>3056346.86</v>
      </c>
      <c r="J176" s="607">
        <v>6350191.3399999999</v>
      </c>
      <c r="K176" s="607">
        <v>8434063.7400000002</v>
      </c>
      <c r="L176" s="607">
        <v>545275.13</v>
      </c>
      <c r="M176" s="607">
        <v>14180000.560000001</v>
      </c>
      <c r="N176" s="608">
        <v>3.9699999999999999E-2</v>
      </c>
      <c r="O176" s="608">
        <v>0.11559999999999999</v>
      </c>
      <c r="P176" s="607"/>
      <c r="Q176" s="607"/>
      <c r="R176" s="607"/>
      <c r="S176" s="607"/>
      <c r="T176" s="607"/>
      <c r="U176" s="607"/>
      <c r="V176" s="607"/>
      <c r="W176" s="607"/>
      <c r="X176" s="607"/>
      <c r="Y176" s="607">
        <v>5820.94</v>
      </c>
      <c r="Z176" s="607">
        <v>141990.23000000001</v>
      </c>
      <c r="AA176" s="607">
        <v>605326.77</v>
      </c>
      <c r="AB176" s="607">
        <v>1994922.5</v>
      </c>
      <c r="AC176" s="607">
        <v>6295419.0899999999</v>
      </c>
      <c r="AD176" s="607">
        <v>524.91</v>
      </c>
      <c r="AE176" s="607">
        <v>5550086.1600000001</v>
      </c>
      <c r="AF176" s="148"/>
      <c r="AG176" s="148"/>
      <c r="AH176" s="148"/>
      <c r="AI176" s="607">
        <v>179.91</v>
      </c>
      <c r="AJ176" s="607">
        <v>1870178.85</v>
      </c>
      <c r="AK176" s="148"/>
      <c r="AL176" s="148"/>
      <c r="AM176" s="148"/>
      <c r="AN176" s="607">
        <v>6600</v>
      </c>
      <c r="AO176" s="607"/>
      <c r="AP176" s="148"/>
      <c r="AQ176" s="168">
        <v>0</v>
      </c>
      <c r="AR176" s="238">
        <v>2000921.1399999997</v>
      </c>
      <c r="AU176" s="633">
        <f t="shared" ref="AU176:AU207" si="16">+B176-AY176</f>
        <v>0</v>
      </c>
      <c r="AX176" s="358">
        <v>170</v>
      </c>
      <c r="AY176" s="301" t="s">
        <v>568</v>
      </c>
      <c r="AZ176" s="139" t="s">
        <v>569</v>
      </c>
      <c r="BA176" s="633">
        <f t="shared" si="12"/>
        <v>0</v>
      </c>
      <c r="BC176" s="196">
        <v>170</v>
      </c>
      <c r="BD176" s="73" t="s">
        <v>568</v>
      </c>
      <c r="BE176" s="139" t="s">
        <v>569</v>
      </c>
      <c r="BF176" s="168">
        <v>0</v>
      </c>
      <c r="BG176" s="168">
        <v>1776634.6799999997</v>
      </c>
    </row>
    <row r="177" spans="1:59">
      <c r="A177" s="139" t="s">
        <v>714</v>
      </c>
      <c r="B177" s="233" t="s">
        <v>713</v>
      </c>
      <c r="C177" s="233" t="str">
        <f t="shared" si="15"/>
        <v>39003 NACHES VALLEY SCHOOL DISTRICT</v>
      </c>
      <c r="D177" s="607"/>
      <c r="E177" s="607">
        <v>46538.91</v>
      </c>
      <c r="F177" s="607">
        <v>29770.18</v>
      </c>
      <c r="G177" s="607">
        <v>2376948.58</v>
      </c>
      <c r="H177" s="607">
        <v>390506.9</v>
      </c>
      <c r="I177" s="607">
        <v>420247.7</v>
      </c>
      <c r="J177" s="607">
        <v>481372.63</v>
      </c>
      <c r="K177" s="607">
        <v>122742.96</v>
      </c>
      <c r="L177" s="607">
        <v>40013.08</v>
      </c>
      <c r="M177" s="607">
        <v>1187700.8500000001</v>
      </c>
      <c r="N177" s="608">
        <v>4.5100000000000001E-2</v>
      </c>
      <c r="O177" s="608">
        <v>0.23860000000000001</v>
      </c>
      <c r="P177" s="607"/>
      <c r="Q177" s="607"/>
      <c r="R177" s="607"/>
      <c r="S177" s="607"/>
      <c r="T177" s="607"/>
      <c r="U177" s="607"/>
      <c r="V177" s="607"/>
      <c r="W177" s="607"/>
      <c r="X177" s="607"/>
      <c r="Y177" s="607"/>
      <c r="Z177" s="607"/>
      <c r="AA177" s="607">
        <v>95340.25</v>
      </c>
      <c r="AB177" s="607">
        <v>688765.13</v>
      </c>
      <c r="AC177" s="607">
        <v>1323489.2</v>
      </c>
      <c r="AD177" s="607">
        <v>133.53</v>
      </c>
      <c r="AE177" s="607">
        <v>1257678.92</v>
      </c>
      <c r="AF177" s="148"/>
      <c r="AG177" s="148"/>
      <c r="AH177" s="148"/>
      <c r="AI177" s="607">
        <v>70.209999999999994</v>
      </c>
      <c r="AJ177" s="607">
        <v>648672.54</v>
      </c>
      <c r="AK177" s="148"/>
      <c r="AL177" s="148"/>
      <c r="AM177" s="148"/>
      <c r="AN177" s="607">
        <v>105000</v>
      </c>
      <c r="AO177" s="607"/>
      <c r="AP177" s="148"/>
      <c r="AQ177" s="168">
        <v>42974.900000000023</v>
      </c>
      <c r="AR177" s="238">
        <v>146830.83000000002</v>
      </c>
      <c r="AU177" s="633">
        <f t="shared" si="16"/>
        <v>0</v>
      </c>
      <c r="AX177" s="358">
        <v>171</v>
      </c>
      <c r="AY177" s="301" t="s">
        <v>713</v>
      </c>
      <c r="AZ177" s="139" t="s">
        <v>714</v>
      </c>
      <c r="BA177" s="633">
        <f t="shared" si="12"/>
        <v>0</v>
      </c>
      <c r="BC177" s="196">
        <v>171</v>
      </c>
      <c r="BD177" s="73" t="s">
        <v>713</v>
      </c>
      <c r="BE177" s="139" t="s">
        <v>714</v>
      </c>
      <c r="BF177" s="168">
        <v>42974.900000000023</v>
      </c>
      <c r="BG177" s="168">
        <v>126477.38000000002</v>
      </c>
    </row>
    <row r="178" spans="1:59">
      <c r="A178" s="139" t="s">
        <v>417</v>
      </c>
      <c r="B178" s="233" t="s">
        <v>416</v>
      </c>
      <c r="C178" s="233" t="str">
        <f t="shared" si="15"/>
        <v>21014 NAPAVINE SCHOOL DISTRICT</v>
      </c>
      <c r="D178" s="607"/>
      <c r="E178" s="607">
        <v>2283.9299999999998</v>
      </c>
      <c r="F178" s="607">
        <v>60.29</v>
      </c>
      <c r="G178" s="607">
        <v>1947211.33</v>
      </c>
      <c r="H178" s="607">
        <v>199735.76</v>
      </c>
      <c r="I178" s="607"/>
      <c r="J178" s="607">
        <v>269148.64</v>
      </c>
      <c r="K178" s="607">
        <v>43058.14</v>
      </c>
      <c r="L178" s="607">
        <v>26970.13</v>
      </c>
      <c r="M178" s="607">
        <v>476016.97</v>
      </c>
      <c r="N178" s="608">
        <v>4.58E-2</v>
      </c>
      <c r="O178" s="608">
        <v>0.20300000000000001</v>
      </c>
      <c r="P178" s="607"/>
      <c r="Q178" s="607"/>
      <c r="R178" s="607"/>
      <c r="S178" s="607"/>
      <c r="T178" s="607"/>
      <c r="U178" s="607"/>
      <c r="V178" s="607"/>
      <c r="W178" s="607"/>
      <c r="X178" s="607"/>
      <c r="Y178" s="607">
        <v>705.49</v>
      </c>
      <c r="Z178" s="607">
        <v>37570.49</v>
      </c>
      <c r="AA178" s="607">
        <v>67375.009999999995</v>
      </c>
      <c r="AB178" s="607">
        <v>423133.56</v>
      </c>
      <c r="AC178" s="607">
        <v>1536614.87</v>
      </c>
      <c r="AD178" s="607">
        <v>147.51</v>
      </c>
      <c r="AE178" s="607">
        <v>1389504.45</v>
      </c>
      <c r="AF178" s="148"/>
      <c r="AG178" s="148"/>
      <c r="AH178" s="148"/>
      <c r="AI178" s="607">
        <v>43.16</v>
      </c>
      <c r="AJ178" s="607">
        <v>398551.35</v>
      </c>
      <c r="AK178" s="148"/>
      <c r="AL178" s="148"/>
      <c r="AM178" s="148"/>
      <c r="AN178" s="607"/>
      <c r="AO178" s="607"/>
      <c r="AP178" s="148"/>
      <c r="AQ178" s="168">
        <v>0</v>
      </c>
      <c r="AR178" s="238">
        <v>81944.099999999991</v>
      </c>
      <c r="AU178" s="633">
        <f t="shared" si="16"/>
        <v>0</v>
      </c>
      <c r="AX178" s="358">
        <v>172</v>
      </c>
      <c r="AY178" s="301" t="s">
        <v>416</v>
      </c>
      <c r="AZ178" s="139" t="s">
        <v>417</v>
      </c>
      <c r="BA178" s="633">
        <f t="shared" si="12"/>
        <v>0</v>
      </c>
      <c r="BC178" s="196">
        <v>172</v>
      </c>
      <c r="BD178" s="73" t="s">
        <v>416</v>
      </c>
      <c r="BE178" s="139" t="s">
        <v>417</v>
      </c>
      <c r="BF178" s="168">
        <v>0</v>
      </c>
      <c r="BG178" s="168">
        <v>76240.529999999984</v>
      </c>
    </row>
    <row r="179" spans="1:59">
      <c r="A179" s="139" t="s">
        <v>976</v>
      </c>
      <c r="B179" s="233" t="s">
        <v>494</v>
      </c>
      <c r="C179" s="233" t="str">
        <f t="shared" si="15"/>
        <v>25155 NASELLE GRAYS RIVER SCHOOL DISTRICT</v>
      </c>
      <c r="D179" s="607"/>
      <c r="E179" s="607"/>
      <c r="F179" s="607"/>
      <c r="G179" s="607"/>
      <c r="H179" s="607">
        <v>97650.51</v>
      </c>
      <c r="I179" s="607">
        <v>102353.86</v>
      </c>
      <c r="J179" s="607">
        <v>131424.12</v>
      </c>
      <c r="K179" s="607">
        <v>19730.439999999999</v>
      </c>
      <c r="L179" s="607">
        <v>9948.01</v>
      </c>
      <c r="M179" s="607">
        <v>357519.84</v>
      </c>
      <c r="N179" s="608">
        <v>4.7000000000000002E-3</v>
      </c>
      <c r="O179" s="608">
        <v>0.186</v>
      </c>
      <c r="P179" s="607"/>
      <c r="Q179" s="607"/>
      <c r="R179" s="607"/>
      <c r="S179" s="607"/>
      <c r="T179" s="607"/>
      <c r="U179" s="607"/>
      <c r="V179" s="607"/>
      <c r="W179" s="607"/>
      <c r="X179" s="607"/>
      <c r="Y179" s="607">
        <v>256.47000000000003</v>
      </c>
      <c r="Z179" s="607"/>
      <c r="AA179" s="607"/>
      <c r="AB179" s="607">
        <v>137442.6</v>
      </c>
      <c r="AC179" s="607">
        <v>298841.92</v>
      </c>
      <c r="AD179" s="607">
        <v>27.38</v>
      </c>
      <c r="AE179" s="607">
        <v>257836.95</v>
      </c>
      <c r="AF179" s="148"/>
      <c r="AG179" s="148"/>
      <c r="AH179" s="148"/>
      <c r="AI179" s="607">
        <v>13.44</v>
      </c>
      <c r="AJ179" s="607">
        <v>124095.87</v>
      </c>
      <c r="AK179" s="148"/>
      <c r="AL179" s="148"/>
      <c r="AM179" s="148"/>
      <c r="AN179" s="607">
        <v>4197.41</v>
      </c>
      <c r="AO179" s="607"/>
      <c r="AP179" s="148"/>
      <c r="AQ179" s="168">
        <v>2490.2199999999866</v>
      </c>
      <c r="AR179" s="238">
        <v>36772.33</v>
      </c>
      <c r="AU179" s="633">
        <f t="shared" si="16"/>
        <v>0</v>
      </c>
      <c r="AX179" s="358">
        <v>173</v>
      </c>
      <c r="AY179" s="301" t="s">
        <v>494</v>
      </c>
      <c r="AZ179" s="139" t="s">
        <v>976</v>
      </c>
      <c r="BA179" s="633">
        <f t="shared" si="12"/>
        <v>0</v>
      </c>
      <c r="BC179" s="196">
        <v>173</v>
      </c>
      <c r="BD179" s="73" t="s">
        <v>494</v>
      </c>
      <c r="BE179" s="139" t="s">
        <v>976</v>
      </c>
      <c r="BF179" s="168">
        <v>2490.2199999999866</v>
      </c>
      <c r="BG179" s="168">
        <v>36858.94</v>
      </c>
    </row>
    <row r="180" spans="1:59">
      <c r="A180" s="139" t="s">
        <v>473</v>
      </c>
      <c r="B180" s="233" t="s">
        <v>472</v>
      </c>
      <c r="C180" s="233" t="str">
        <f t="shared" si="15"/>
        <v>24014 NESPELEM SCHOOL DISTRICT</v>
      </c>
      <c r="D180" s="607"/>
      <c r="E180" s="607"/>
      <c r="F180" s="607"/>
      <c r="G180" s="607">
        <v>490398.69</v>
      </c>
      <c r="H180" s="607">
        <v>75995.929999999993</v>
      </c>
      <c r="I180" s="607">
        <v>57366.8</v>
      </c>
      <c r="J180" s="607">
        <v>124902.66</v>
      </c>
      <c r="K180" s="607"/>
      <c r="L180" s="607"/>
      <c r="M180" s="607">
        <v>253425.6</v>
      </c>
      <c r="N180" s="608">
        <v>6.5299999999999997E-2</v>
      </c>
      <c r="O180" s="608">
        <v>0.26650000000000001</v>
      </c>
      <c r="P180" s="607"/>
      <c r="Q180" s="607"/>
      <c r="R180" s="607"/>
      <c r="S180" s="607"/>
      <c r="T180" s="607"/>
      <c r="U180" s="607"/>
      <c r="V180" s="607"/>
      <c r="W180" s="607"/>
      <c r="X180" s="607"/>
      <c r="Y180" s="607">
        <v>117.99</v>
      </c>
      <c r="Z180" s="607">
        <v>9155.85</v>
      </c>
      <c r="AA180" s="607"/>
      <c r="AB180" s="607">
        <v>104983.83</v>
      </c>
      <c r="AC180" s="607">
        <v>95181.36</v>
      </c>
      <c r="AD180" s="607">
        <v>9.76</v>
      </c>
      <c r="AE180" s="607">
        <v>92077.8</v>
      </c>
      <c r="AF180" s="148"/>
      <c r="AG180" s="148"/>
      <c r="AH180" s="148"/>
      <c r="AI180" s="607">
        <v>10.75</v>
      </c>
      <c r="AJ180" s="607">
        <v>99308.45</v>
      </c>
      <c r="AK180" s="148"/>
      <c r="AL180" s="148"/>
      <c r="AM180" s="148"/>
      <c r="AN180" s="607"/>
      <c r="AO180" s="607"/>
      <c r="AP180" s="148"/>
      <c r="AQ180" s="168">
        <v>10493.199999999997</v>
      </c>
      <c r="AR180" s="238">
        <v>32019.93</v>
      </c>
      <c r="AU180" s="633">
        <f t="shared" si="16"/>
        <v>0</v>
      </c>
      <c r="AX180" s="358">
        <v>174</v>
      </c>
      <c r="AY180" s="301" t="s">
        <v>472</v>
      </c>
      <c r="AZ180" s="139" t="s">
        <v>473</v>
      </c>
      <c r="BA180" s="633">
        <f t="shared" si="12"/>
        <v>0</v>
      </c>
      <c r="BC180" s="196">
        <v>174</v>
      </c>
      <c r="BD180" s="73" t="s">
        <v>472</v>
      </c>
      <c r="BE180" s="139" t="s">
        <v>473</v>
      </c>
      <c r="BF180" s="168">
        <v>10493.199999999997</v>
      </c>
      <c r="BG180" s="168">
        <v>27844.1</v>
      </c>
    </row>
    <row r="181" spans="1:59">
      <c r="A181" s="139" t="s">
        <v>500</v>
      </c>
      <c r="B181" s="233" t="s">
        <v>499</v>
      </c>
      <c r="C181" s="233" t="str">
        <f t="shared" si="15"/>
        <v>26056 NEWPORT SCHOOL DISTRICT</v>
      </c>
      <c r="D181" s="607"/>
      <c r="E181" s="607"/>
      <c r="F181" s="607">
        <v>130.69</v>
      </c>
      <c r="G181" s="607">
        <v>2188199.38</v>
      </c>
      <c r="H181" s="607">
        <v>357186.6</v>
      </c>
      <c r="I181" s="607">
        <v>377471.31</v>
      </c>
      <c r="J181" s="607">
        <v>491762.76</v>
      </c>
      <c r="K181" s="607"/>
      <c r="L181" s="607">
        <v>36586.53</v>
      </c>
      <c r="M181" s="607">
        <v>905500.79</v>
      </c>
      <c r="N181" s="608">
        <v>2.7199999999999998E-2</v>
      </c>
      <c r="O181" s="608">
        <v>0.2366</v>
      </c>
      <c r="P181" s="607"/>
      <c r="Q181" s="607"/>
      <c r="R181" s="607"/>
      <c r="S181" s="607"/>
      <c r="T181" s="607"/>
      <c r="U181" s="607"/>
      <c r="V181" s="607"/>
      <c r="W181" s="607"/>
      <c r="X181" s="607"/>
      <c r="Y181" s="607"/>
      <c r="Z181" s="607"/>
      <c r="AA181" s="607">
        <v>45307.47</v>
      </c>
      <c r="AB181" s="607">
        <v>381938.31</v>
      </c>
      <c r="AC181" s="607">
        <v>1030016.41</v>
      </c>
      <c r="AD181" s="607">
        <v>99.78</v>
      </c>
      <c r="AE181" s="607">
        <v>940035.95</v>
      </c>
      <c r="AF181" s="148"/>
      <c r="AG181" s="148"/>
      <c r="AH181" s="148"/>
      <c r="AI181" s="607">
        <v>38.22</v>
      </c>
      <c r="AJ181" s="607">
        <v>353191.61</v>
      </c>
      <c r="AK181" s="148"/>
      <c r="AL181" s="148"/>
      <c r="AM181" s="148"/>
      <c r="AN181" s="607">
        <v>356.76</v>
      </c>
      <c r="AO181" s="607"/>
      <c r="AP181" s="148"/>
      <c r="AQ181" s="168">
        <v>0</v>
      </c>
      <c r="AR181" s="238">
        <v>112523.90000000001</v>
      </c>
      <c r="AU181" s="633">
        <f t="shared" si="16"/>
        <v>0</v>
      </c>
      <c r="AX181" s="358">
        <v>175</v>
      </c>
      <c r="AY181" s="301" t="s">
        <v>499</v>
      </c>
      <c r="AZ181" s="139" t="s">
        <v>500</v>
      </c>
      <c r="BA181" s="633">
        <f t="shared" si="12"/>
        <v>0</v>
      </c>
      <c r="BC181" s="196">
        <v>175</v>
      </c>
      <c r="BD181" s="73" t="s">
        <v>499</v>
      </c>
      <c r="BE181" s="139" t="s">
        <v>500</v>
      </c>
      <c r="BF181" s="168">
        <v>0</v>
      </c>
      <c r="BG181" s="168">
        <v>94011.23000000001</v>
      </c>
    </row>
    <row r="182" spans="1:59">
      <c r="A182" s="139" t="s">
        <v>599</v>
      </c>
      <c r="B182" s="233" t="s">
        <v>598</v>
      </c>
      <c r="C182" s="233" t="str">
        <f t="shared" si="15"/>
        <v>32325 NINE MILE FALLS SCHOOL DISTRICT</v>
      </c>
      <c r="D182" s="607"/>
      <c r="E182" s="607"/>
      <c r="F182" s="607"/>
      <c r="G182" s="607">
        <v>2431952.94</v>
      </c>
      <c r="H182" s="607">
        <v>436028.17</v>
      </c>
      <c r="I182" s="607">
        <v>1371.54</v>
      </c>
      <c r="J182" s="607">
        <v>338199.03</v>
      </c>
      <c r="K182" s="607">
        <v>21303.68</v>
      </c>
      <c r="L182" s="607">
        <v>45260.84</v>
      </c>
      <c r="M182" s="607">
        <v>1519517.74</v>
      </c>
      <c r="N182" s="608">
        <v>2.52E-2</v>
      </c>
      <c r="O182" s="608">
        <v>0.18679999999999999</v>
      </c>
      <c r="P182" s="607"/>
      <c r="Q182" s="607"/>
      <c r="R182" s="607"/>
      <c r="S182" s="607"/>
      <c r="T182" s="607"/>
      <c r="U182" s="607"/>
      <c r="V182" s="607"/>
      <c r="W182" s="607"/>
      <c r="X182" s="607"/>
      <c r="Y182" s="607">
        <v>1147.96</v>
      </c>
      <c r="Z182" s="607"/>
      <c r="AA182" s="607"/>
      <c r="AB182" s="607">
        <v>60524.83</v>
      </c>
      <c r="AC182" s="607">
        <v>1048960.54</v>
      </c>
      <c r="AD182" s="607">
        <v>101.21</v>
      </c>
      <c r="AE182" s="607">
        <v>972224.95</v>
      </c>
      <c r="AF182" s="148"/>
      <c r="AG182" s="148"/>
      <c r="AH182" s="148"/>
      <c r="AI182" s="607">
        <v>5.92</v>
      </c>
      <c r="AJ182" s="607">
        <v>55801.13</v>
      </c>
      <c r="AK182" s="148"/>
      <c r="AL182" s="148"/>
      <c r="AM182" s="148"/>
      <c r="AN182" s="607"/>
      <c r="AO182" s="607"/>
      <c r="AP182" s="148"/>
      <c r="AQ182" s="168">
        <v>0</v>
      </c>
      <c r="AR182" s="238">
        <v>145852.73000000001</v>
      </c>
      <c r="AU182" s="633">
        <f t="shared" si="16"/>
        <v>0</v>
      </c>
      <c r="AX182" s="358">
        <v>176</v>
      </c>
      <c r="AY182" s="301" t="s">
        <v>598</v>
      </c>
      <c r="AZ182" s="139" t="s">
        <v>599</v>
      </c>
      <c r="BA182" s="633">
        <f t="shared" si="12"/>
        <v>0</v>
      </c>
      <c r="BC182" s="196">
        <v>176</v>
      </c>
      <c r="BD182" s="73" t="s">
        <v>598</v>
      </c>
      <c r="BE182" s="139" t="s">
        <v>599</v>
      </c>
      <c r="BF182" s="168">
        <v>0</v>
      </c>
      <c r="BG182" s="168">
        <v>124794.52</v>
      </c>
    </row>
    <row r="183" spans="1:59">
      <c r="A183" s="139" t="s">
        <v>682</v>
      </c>
      <c r="B183" s="233" t="s">
        <v>681</v>
      </c>
      <c r="C183" s="233" t="str">
        <f t="shared" si="15"/>
        <v>37506 NOOKSACK VALLEY SCHOOL DISTRICT</v>
      </c>
      <c r="D183" s="607"/>
      <c r="E183" s="607">
        <v>71095.490000000005</v>
      </c>
      <c r="F183" s="607">
        <v>64429.22</v>
      </c>
      <c r="G183" s="607">
        <v>5294440.99</v>
      </c>
      <c r="H183" s="607">
        <v>875658.28</v>
      </c>
      <c r="I183" s="607">
        <v>678639.9</v>
      </c>
      <c r="J183" s="607">
        <v>748944.21</v>
      </c>
      <c r="K183" s="607">
        <v>559829.93000000005</v>
      </c>
      <c r="L183" s="607">
        <v>63448.17</v>
      </c>
      <c r="M183" s="607">
        <v>1904210.02</v>
      </c>
      <c r="N183" s="608">
        <v>3.0200000000000001E-2</v>
      </c>
      <c r="O183" s="608">
        <v>0.14430000000000001</v>
      </c>
      <c r="P183" s="607"/>
      <c r="Q183" s="607"/>
      <c r="R183" s="607"/>
      <c r="S183" s="607"/>
      <c r="T183" s="607"/>
      <c r="U183" s="607"/>
      <c r="V183" s="607"/>
      <c r="W183" s="607"/>
      <c r="X183" s="607"/>
      <c r="Y183" s="607">
        <v>1454.42</v>
      </c>
      <c r="Z183" s="607"/>
      <c r="AA183" s="607">
        <v>42651.54</v>
      </c>
      <c r="AB183" s="607">
        <v>145605.71</v>
      </c>
      <c r="AC183" s="607">
        <v>1350960.2</v>
      </c>
      <c r="AD183" s="607">
        <v>124.34</v>
      </c>
      <c r="AE183" s="607">
        <v>1219097.93</v>
      </c>
      <c r="AF183" s="148"/>
      <c r="AG183" s="148"/>
      <c r="AH183" s="148"/>
      <c r="AI183" s="607">
        <v>14.05</v>
      </c>
      <c r="AJ183" s="607">
        <v>135145.03</v>
      </c>
      <c r="AK183" s="148"/>
      <c r="AL183" s="148"/>
      <c r="AM183" s="148"/>
      <c r="AN183" s="607"/>
      <c r="AO183" s="607"/>
      <c r="AP183" s="148"/>
      <c r="AQ183" s="168">
        <v>0</v>
      </c>
      <c r="AR183" s="238">
        <v>254008.31000000003</v>
      </c>
      <c r="AU183" s="633">
        <f t="shared" si="16"/>
        <v>0</v>
      </c>
      <c r="AX183" s="358">
        <v>177</v>
      </c>
      <c r="AY183" s="301" t="s">
        <v>681</v>
      </c>
      <c r="AZ183" s="139" t="s">
        <v>682</v>
      </c>
      <c r="BA183" s="633">
        <f t="shared" si="12"/>
        <v>0</v>
      </c>
      <c r="BC183" s="196">
        <v>177</v>
      </c>
      <c r="BD183" s="73" t="s">
        <v>681</v>
      </c>
      <c r="BE183" s="139" t="s">
        <v>682</v>
      </c>
      <c r="BF183" s="168">
        <v>0</v>
      </c>
      <c r="BG183" s="168">
        <v>210370.24000000002</v>
      </c>
    </row>
    <row r="184" spans="1:59">
      <c r="A184" s="139" t="s">
        <v>302</v>
      </c>
      <c r="B184" s="233" t="s">
        <v>301</v>
      </c>
      <c r="C184" s="233" t="str">
        <f t="shared" si="15"/>
        <v>14064 NORTH BEACH SCHOOL DISTRICT</v>
      </c>
      <c r="D184" s="607"/>
      <c r="E184" s="607">
        <v>21109.16</v>
      </c>
      <c r="F184" s="607">
        <v>269.38</v>
      </c>
      <c r="G184" s="607">
        <v>1505438.8</v>
      </c>
      <c r="H184" s="607">
        <v>229589.86</v>
      </c>
      <c r="I184" s="607">
        <v>202386.51</v>
      </c>
      <c r="J184" s="607">
        <v>322536.23</v>
      </c>
      <c r="K184" s="607">
        <v>26488.94</v>
      </c>
      <c r="L184" s="607">
        <v>19674.939999999999</v>
      </c>
      <c r="M184" s="607">
        <v>786237.07</v>
      </c>
      <c r="N184" s="608">
        <v>4.5199999999999997E-2</v>
      </c>
      <c r="O184" s="608">
        <v>0.20380000000000001</v>
      </c>
      <c r="P184" s="607"/>
      <c r="Q184" s="607"/>
      <c r="R184" s="607"/>
      <c r="S184" s="607"/>
      <c r="T184" s="607"/>
      <c r="U184" s="607"/>
      <c r="V184" s="607"/>
      <c r="W184" s="607"/>
      <c r="X184" s="607"/>
      <c r="Y184" s="607">
        <v>529.33000000000004</v>
      </c>
      <c r="Z184" s="607"/>
      <c r="AA184" s="607">
        <v>9155.85</v>
      </c>
      <c r="AB184" s="607">
        <v>78540.639999999999</v>
      </c>
      <c r="AC184" s="607">
        <v>254287.59</v>
      </c>
      <c r="AD184" s="607">
        <v>22.75</v>
      </c>
      <c r="AE184" s="607">
        <v>214236.24</v>
      </c>
      <c r="AF184" s="148"/>
      <c r="AG184" s="148"/>
      <c r="AH184" s="148"/>
      <c r="AI184" s="607">
        <v>8.01</v>
      </c>
      <c r="AJ184" s="607">
        <v>73934.240000000005</v>
      </c>
      <c r="AK184" s="148"/>
      <c r="AL184" s="148"/>
      <c r="AM184" s="148"/>
      <c r="AN184" s="607">
        <v>443.17</v>
      </c>
      <c r="AO184" s="607"/>
      <c r="AP184" s="148"/>
      <c r="AQ184" s="168">
        <v>0</v>
      </c>
      <c r="AR184" s="238">
        <v>74158.450000000012</v>
      </c>
      <c r="AU184" s="633">
        <f t="shared" si="16"/>
        <v>0</v>
      </c>
      <c r="AX184" s="358">
        <v>178</v>
      </c>
      <c r="AY184" s="301" t="s">
        <v>301</v>
      </c>
      <c r="AZ184" s="139" t="s">
        <v>302</v>
      </c>
      <c r="BA184" s="633">
        <f t="shared" si="12"/>
        <v>0</v>
      </c>
      <c r="BC184" s="196">
        <v>178</v>
      </c>
      <c r="BD184" s="73" t="s">
        <v>301</v>
      </c>
      <c r="BE184" s="139" t="s">
        <v>302</v>
      </c>
      <c r="BF184" s="168">
        <v>0</v>
      </c>
      <c r="BG184" s="168">
        <v>64033.499999999993</v>
      </c>
    </row>
    <row r="185" spans="1:59">
      <c r="A185" s="139" t="s">
        <v>270</v>
      </c>
      <c r="B185" s="233" t="s">
        <v>269</v>
      </c>
      <c r="C185" s="233" t="str">
        <f t="shared" si="15"/>
        <v>11051 NORTH FRANKLIN SCHOOL DISTRICT</v>
      </c>
      <c r="D185" s="607"/>
      <c r="E185" s="607">
        <v>104593.12</v>
      </c>
      <c r="F185" s="607">
        <v>61839.49</v>
      </c>
      <c r="G185" s="607">
        <v>3511088.07</v>
      </c>
      <c r="H185" s="607">
        <v>596747.69999999995</v>
      </c>
      <c r="I185" s="607">
        <v>653583.53</v>
      </c>
      <c r="J185" s="607">
        <v>1081679.1000000001</v>
      </c>
      <c r="K185" s="607">
        <v>1265037.43</v>
      </c>
      <c r="L185" s="607">
        <v>61567.07</v>
      </c>
      <c r="M185" s="607">
        <v>2013085.46</v>
      </c>
      <c r="N185" s="608">
        <v>2.3E-2</v>
      </c>
      <c r="O185" s="608">
        <v>0.1603</v>
      </c>
      <c r="P185" s="607"/>
      <c r="Q185" s="607"/>
      <c r="R185" s="607"/>
      <c r="S185" s="607"/>
      <c r="T185" s="607"/>
      <c r="U185" s="607"/>
      <c r="V185" s="607"/>
      <c r="W185" s="607"/>
      <c r="X185" s="607"/>
      <c r="Y185" s="607">
        <v>1636.32</v>
      </c>
      <c r="Z185" s="607"/>
      <c r="AA185" s="607">
        <v>120521.58</v>
      </c>
      <c r="AB185" s="607">
        <v>351979.01</v>
      </c>
      <c r="AC185" s="607">
        <v>1359134.86</v>
      </c>
      <c r="AD185" s="607">
        <v>133.16999999999999</v>
      </c>
      <c r="AE185" s="607">
        <v>1254359.1599999999</v>
      </c>
      <c r="AF185" s="148"/>
      <c r="AG185" s="148"/>
      <c r="AH185" s="148"/>
      <c r="AI185" s="607">
        <v>35.06</v>
      </c>
      <c r="AJ185" s="607">
        <v>324055.43</v>
      </c>
      <c r="AK185" s="148"/>
      <c r="AL185" s="148"/>
      <c r="AM185" s="148"/>
      <c r="AN185" s="607"/>
      <c r="AO185" s="607"/>
      <c r="AP185" s="148"/>
      <c r="AQ185" s="168">
        <v>105202.05999999997</v>
      </c>
      <c r="AR185" s="238">
        <v>238662.31</v>
      </c>
      <c r="AU185" s="633">
        <f t="shared" si="16"/>
        <v>0</v>
      </c>
      <c r="AX185" s="358">
        <v>179</v>
      </c>
      <c r="AY185" s="301" t="s">
        <v>269</v>
      </c>
      <c r="AZ185" s="139" t="s">
        <v>270</v>
      </c>
      <c r="BA185" s="633">
        <f t="shared" si="12"/>
        <v>0</v>
      </c>
      <c r="BC185" s="196">
        <v>179</v>
      </c>
      <c r="BD185" s="73" t="s">
        <v>269</v>
      </c>
      <c r="BE185" s="139" t="s">
        <v>270</v>
      </c>
      <c r="BF185" s="168">
        <v>105202.05999999997</v>
      </c>
      <c r="BG185" s="168">
        <v>208554.96999999997</v>
      </c>
    </row>
    <row r="186" spans="1:59">
      <c r="A186" s="139" t="s">
        <v>379</v>
      </c>
      <c r="B186" s="233" t="s">
        <v>378</v>
      </c>
      <c r="C186" s="233" t="str">
        <f t="shared" si="15"/>
        <v>18400 NORTH KITSAP SCHOOL DISTRICT</v>
      </c>
      <c r="D186" s="607"/>
      <c r="E186" s="607">
        <v>110797.19</v>
      </c>
      <c r="F186" s="607">
        <v>9863.25</v>
      </c>
      <c r="G186" s="607">
        <v>13469690.550000001</v>
      </c>
      <c r="H186" s="607">
        <v>1817637.3</v>
      </c>
      <c r="I186" s="607">
        <v>125796.37</v>
      </c>
      <c r="J186" s="607">
        <v>1557485.19</v>
      </c>
      <c r="K186" s="607">
        <v>627942.40000000002</v>
      </c>
      <c r="L186" s="607">
        <v>197755.05</v>
      </c>
      <c r="M186" s="607">
        <v>4027138.59</v>
      </c>
      <c r="N186" s="608">
        <v>6.9000000000000006E-2</v>
      </c>
      <c r="O186" s="608">
        <v>0.2099</v>
      </c>
      <c r="P186" s="607"/>
      <c r="Q186" s="607"/>
      <c r="R186" s="607"/>
      <c r="S186" s="607"/>
      <c r="T186" s="607"/>
      <c r="U186" s="607"/>
      <c r="V186" s="607"/>
      <c r="W186" s="607"/>
      <c r="X186" s="607"/>
      <c r="Y186" s="607">
        <v>4413.2299999999996</v>
      </c>
      <c r="Z186" s="607">
        <v>19794.14</v>
      </c>
      <c r="AA186" s="607">
        <v>346763.92</v>
      </c>
      <c r="AB186" s="607">
        <v>1026670.58</v>
      </c>
      <c r="AC186" s="607">
        <v>3724750.93</v>
      </c>
      <c r="AD186" s="607">
        <v>322.77999999999997</v>
      </c>
      <c r="AE186" s="607">
        <v>3472755.39</v>
      </c>
      <c r="AF186" s="148"/>
      <c r="AG186" s="148"/>
      <c r="AH186" s="148"/>
      <c r="AI186" s="607">
        <v>91.92</v>
      </c>
      <c r="AJ186" s="607">
        <v>972711.63</v>
      </c>
      <c r="AK186" s="148"/>
      <c r="AL186" s="148"/>
      <c r="AM186" s="148"/>
      <c r="AN186" s="607"/>
      <c r="AO186" s="607"/>
      <c r="AP186" s="148"/>
      <c r="AQ186" s="168">
        <v>0</v>
      </c>
      <c r="AR186" s="238">
        <v>659648.35999999987</v>
      </c>
      <c r="AU186" s="633">
        <f t="shared" si="16"/>
        <v>0</v>
      </c>
      <c r="AX186" s="358">
        <v>180</v>
      </c>
      <c r="AY186" s="301" t="s">
        <v>378</v>
      </c>
      <c r="AZ186" s="139" t="s">
        <v>379</v>
      </c>
      <c r="BA186" s="633">
        <f t="shared" si="12"/>
        <v>0</v>
      </c>
      <c r="BC186" s="196">
        <v>180</v>
      </c>
      <c r="BD186" s="73" t="s">
        <v>378</v>
      </c>
      <c r="BE186" s="139" t="s">
        <v>379</v>
      </c>
      <c r="BF186" s="168">
        <v>0</v>
      </c>
      <c r="BG186" s="168">
        <v>572978.68999999994</v>
      </c>
    </row>
    <row r="187" spans="1:59">
      <c r="A187" s="139" t="s">
        <v>469</v>
      </c>
      <c r="B187" s="233" t="s">
        <v>468</v>
      </c>
      <c r="C187" s="233" t="str">
        <f t="shared" si="15"/>
        <v>23403 NORTH MASON SCHOOL DISTRICT</v>
      </c>
      <c r="D187" s="607"/>
      <c r="E187" s="607">
        <v>70530.2</v>
      </c>
      <c r="F187" s="607">
        <v>36771.339999999997</v>
      </c>
      <c r="G187" s="607">
        <v>4441644.92</v>
      </c>
      <c r="H187" s="607">
        <v>684152.02</v>
      </c>
      <c r="I187" s="607">
        <v>534433.29</v>
      </c>
      <c r="J187" s="607">
        <v>1023528.09</v>
      </c>
      <c r="K187" s="607">
        <v>718049.04</v>
      </c>
      <c r="L187" s="607">
        <v>77636.03</v>
      </c>
      <c r="M187" s="607">
        <v>2680174.44</v>
      </c>
      <c r="N187" s="608">
        <v>7.4099999999999999E-2</v>
      </c>
      <c r="O187" s="608">
        <v>0.1754</v>
      </c>
      <c r="P187" s="607"/>
      <c r="Q187" s="607"/>
      <c r="R187" s="607"/>
      <c r="S187" s="607"/>
      <c r="T187" s="607"/>
      <c r="U187" s="607"/>
      <c r="V187" s="607"/>
      <c r="W187" s="607"/>
      <c r="X187" s="607"/>
      <c r="Y187" s="607">
        <v>1865.75</v>
      </c>
      <c r="Z187" s="607">
        <v>36928.01</v>
      </c>
      <c r="AA187" s="607">
        <v>226843.51</v>
      </c>
      <c r="AB187" s="607">
        <v>765359.89</v>
      </c>
      <c r="AC187" s="607">
        <v>2185398.5699999998</v>
      </c>
      <c r="AD187" s="607">
        <v>201.58</v>
      </c>
      <c r="AE187" s="607">
        <v>2053919.71</v>
      </c>
      <c r="AF187" s="148"/>
      <c r="AG187" s="148"/>
      <c r="AH187" s="148"/>
      <c r="AI187" s="607">
        <v>72.430000000000007</v>
      </c>
      <c r="AJ187" s="607">
        <v>724968.69</v>
      </c>
      <c r="AK187" s="148"/>
      <c r="AL187" s="148"/>
      <c r="AM187" s="148"/>
      <c r="AN187" s="607">
        <v>50.88</v>
      </c>
      <c r="AO187" s="607"/>
      <c r="AP187" s="148"/>
      <c r="AQ187" s="168">
        <v>36975.47000000003</v>
      </c>
      <c r="AR187" s="238">
        <v>277508.48000000004</v>
      </c>
      <c r="AU187" s="633">
        <f t="shared" si="16"/>
        <v>0</v>
      </c>
      <c r="AX187" s="358">
        <v>181</v>
      </c>
      <c r="AY187" s="301" t="s">
        <v>468</v>
      </c>
      <c r="AZ187" s="139" t="s">
        <v>469</v>
      </c>
      <c r="BA187" s="633">
        <f t="shared" si="12"/>
        <v>0</v>
      </c>
      <c r="BC187" s="196">
        <v>181</v>
      </c>
      <c r="BD187" s="73" t="s">
        <v>468</v>
      </c>
      <c r="BE187" s="139" t="s">
        <v>469</v>
      </c>
      <c r="BF187" s="168">
        <v>36975.47000000003</v>
      </c>
      <c r="BG187" s="168">
        <v>243187.52</v>
      </c>
    </row>
    <row r="188" spans="1:59">
      <c r="A188" s="139" t="s">
        <v>498</v>
      </c>
      <c r="B188" s="233" t="s">
        <v>497</v>
      </c>
      <c r="C188" s="233" t="str">
        <f t="shared" si="15"/>
        <v>25200 NORTH RIVER SCHOOL DISTRICT</v>
      </c>
      <c r="D188" s="607"/>
      <c r="E188" s="607"/>
      <c r="F188" s="607"/>
      <c r="G188" s="607">
        <v>108565.27</v>
      </c>
      <c r="H188" s="607">
        <v>16789.900000000001</v>
      </c>
      <c r="I188" s="607">
        <v>16911.599999999999</v>
      </c>
      <c r="J188" s="607">
        <v>21996.14</v>
      </c>
      <c r="K188" s="607"/>
      <c r="L188" s="607"/>
      <c r="M188" s="607">
        <v>151724.57</v>
      </c>
      <c r="N188" s="608">
        <v>2.5600000000000001E-2</v>
      </c>
      <c r="O188" s="608">
        <v>0.40439999999999998</v>
      </c>
      <c r="P188" s="607"/>
      <c r="Q188" s="607"/>
      <c r="R188" s="607"/>
      <c r="S188" s="607"/>
      <c r="T188" s="607"/>
      <c r="U188" s="607"/>
      <c r="V188" s="607"/>
      <c r="W188" s="607"/>
      <c r="X188" s="607"/>
      <c r="Y188" s="607">
        <v>40.97</v>
      </c>
      <c r="Z188" s="607"/>
      <c r="AA188" s="607"/>
      <c r="AB188" s="607"/>
      <c r="AC188" s="607">
        <v>1682.33</v>
      </c>
      <c r="AD188" s="607">
        <v>0.01</v>
      </c>
      <c r="AE188" s="607">
        <v>17.37</v>
      </c>
      <c r="AF188" s="148"/>
      <c r="AG188" s="148"/>
      <c r="AH188" s="148"/>
      <c r="AI188" s="607"/>
      <c r="AJ188" s="607"/>
      <c r="AK188" s="148"/>
      <c r="AL188" s="148"/>
      <c r="AM188" s="148"/>
      <c r="AN188" s="607"/>
      <c r="AO188" s="607"/>
      <c r="AP188" s="148"/>
      <c r="AQ188" s="168">
        <v>5506.32</v>
      </c>
      <c r="AR188" s="238">
        <v>21197.489999999998</v>
      </c>
      <c r="AU188" s="633">
        <f t="shared" si="16"/>
        <v>0</v>
      </c>
      <c r="AX188" s="358">
        <v>182</v>
      </c>
      <c r="AY188" s="301" t="s">
        <v>497</v>
      </c>
      <c r="AZ188" s="139" t="s">
        <v>498</v>
      </c>
      <c r="BA188" s="633">
        <f t="shared" si="12"/>
        <v>0</v>
      </c>
      <c r="BC188" s="196">
        <v>182</v>
      </c>
      <c r="BD188" s="73" t="s">
        <v>497</v>
      </c>
      <c r="BE188" s="139" t="s">
        <v>498</v>
      </c>
      <c r="BF188" s="168">
        <v>5506.32</v>
      </c>
      <c r="BG188" s="168">
        <v>20369.839999999997</v>
      </c>
    </row>
    <row r="189" spans="1:59">
      <c r="A189" s="139" t="s">
        <v>643</v>
      </c>
      <c r="B189" s="233" t="s">
        <v>642</v>
      </c>
      <c r="C189" s="233" t="str">
        <f t="shared" si="15"/>
        <v>34003 NORTH THURSTON SCHOOL DISTRICT</v>
      </c>
      <c r="D189" s="607"/>
      <c r="E189" s="607">
        <v>366741.48</v>
      </c>
      <c r="F189" s="607"/>
      <c r="G189" s="607">
        <v>42958514.109999999</v>
      </c>
      <c r="H189" s="607">
        <v>6388464.8700000001</v>
      </c>
      <c r="I189" s="607">
        <v>1513864.4</v>
      </c>
      <c r="J189" s="607">
        <v>4808862.78</v>
      </c>
      <c r="K189" s="607">
        <v>1858040.75</v>
      </c>
      <c r="L189" s="607">
        <v>464682.1</v>
      </c>
      <c r="M189" s="607">
        <v>11722699.18</v>
      </c>
      <c r="N189" s="608">
        <v>3.1399999999999997E-2</v>
      </c>
      <c r="O189" s="608">
        <v>0.1245</v>
      </c>
      <c r="P189" s="607"/>
      <c r="Q189" s="607"/>
      <c r="R189" s="607"/>
      <c r="S189" s="607"/>
      <c r="T189" s="607"/>
      <c r="U189" s="607"/>
      <c r="V189" s="607"/>
      <c r="W189" s="607"/>
      <c r="X189" s="607"/>
      <c r="Y189" s="607">
        <v>11264.14</v>
      </c>
      <c r="Z189" s="607"/>
      <c r="AA189" s="607"/>
      <c r="AB189" s="607">
        <v>2081263.7</v>
      </c>
      <c r="AC189" s="607">
        <v>8820193.4100000001</v>
      </c>
      <c r="AD189" s="607">
        <v>829.43</v>
      </c>
      <c r="AE189" s="607">
        <v>7812738.29</v>
      </c>
      <c r="AF189" s="148"/>
      <c r="AG189" s="148"/>
      <c r="AH189" s="148"/>
      <c r="AI189" s="607">
        <v>209.16</v>
      </c>
      <c r="AJ189" s="607">
        <v>1932275.47</v>
      </c>
      <c r="AK189" s="148"/>
      <c r="AL189" s="148"/>
      <c r="AM189" s="148"/>
      <c r="AN189" s="607">
        <v>5550.61</v>
      </c>
      <c r="AO189" s="607"/>
      <c r="AP189" s="148"/>
      <c r="AQ189" s="168">
        <v>0</v>
      </c>
      <c r="AR189" s="238">
        <v>1611424.0099999998</v>
      </c>
      <c r="AU189" s="633">
        <f t="shared" si="16"/>
        <v>0</v>
      </c>
      <c r="AX189" s="358">
        <v>183</v>
      </c>
      <c r="AY189" s="301" t="s">
        <v>642</v>
      </c>
      <c r="AZ189" s="139" t="s">
        <v>643</v>
      </c>
      <c r="BA189" s="633">
        <f t="shared" si="12"/>
        <v>0</v>
      </c>
      <c r="BC189" s="196">
        <v>183</v>
      </c>
      <c r="BD189" s="73" t="s">
        <v>642</v>
      </c>
      <c r="BE189" s="139" t="s">
        <v>643</v>
      </c>
      <c r="BF189" s="168">
        <v>0</v>
      </c>
      <c r="BG189" s="168">
        <v>1346537.8099999998</v>
      </c>
    </row>
    <row r="190" spans="1:59">
      <c r="A190" s="139" t="s">
        <v>637</v>
      </c>
      <c r="B190" s="233" t="s">
        <v>636</v>
      </c>
      <c r="C190" s="233" t="str">
        <f t="shared" si="15"/>
        <v>33211 NORTHPORT SCHOOL DISTRICT</v>
      </c>
      <c r="D190" s="607"/>
      <c r="E190" s="607">
        <v>7643.18</v>
      </c>
      <c r="F190" s="607"/>
      <c r="G190" s="607">
        <v>460743.94</v>
      </c>
      <c r="H190" s="607">
        <v>75856.740000000005</v>
      </c>
      <c r="I190" s="607">
        <v>54603.47</v>
      </c>
      <c r="J190" s="607">
        <v>120370.79</v>
      </c>
      <c r="K190" s="607"/>
      <c r="L190" s="607">
        <v>7958.4</v>
      </c>
      <c r="M190" s="607">
        <v>472076.76</v>
      </c>
      <c r="N190" s="608">
        <v>4.2000000000000003E-2</v>
      </c>
      <c r="O190" s="608">
        <v>0.28170000000000001</v>
      </c>
      <c r="P190" s="607"/>
      <c r="Q190" s="607"/>
      <c r="R190" s="607"/>
      <c r="S190" s="607"/>
      <c r="T190" s="607"/>
      <c r="U190" s="607"/>
      <c r="V190" s="607"/>
      <c r="W190" s="607"/>
      <c r="X190" s="607"/>
      <c r="Y190" s="607">
        <v>90.13</v>
      </c>
      <c r="Z190" s="607"/>
      <c r="AA190" s="607"/>
      <c r="AB190" s="607"/>
      <c r="AC190" s="607">
        <v>62406.720000000001</v>
      </c>
      <c r="AD190" s="607">
        <v>5.96</v>
      </c>
      <c r="AE190" s="607">
        <v>56240.85</v>
      </c>
      <c r="AF190" s="148"/>
      <c r="AG190" s="148"/>
      <c r="AH190" s="148"/>
      <c r="AI190" s="607"/>
      <c r="AJ190" s="607"/>
      <c r="AK190" s="148"/>
      <c r="AL190" s="148"/>
      <c r="AM190" s="148"/>
      <c r="AN190" s="607"/>
      <c r="AO190" s="607"/>
      <c r="AP190" s="148"/>
      <c r="AQ190" s="168">
        <v>853.90000000001601</v>
      </c>
      <c r="AR190" s="238">
        <v>29793.739999999998</v>
      </c>
      <c r="AU190" s="633">
        <f t="shared" si="16"/>
        <v>0</v>
      </c>
      <c r="AX190" s="358">
        <v>184</v>
      </c>
      <c r="AY190" s="301" t="s">
        <v>636</v>
      </c>
      <c r="AZ190" s="139" t="s">
        <v>637</v>
      </c>
      <c r="BA190" s="633">
        <f t="shared" si="12"/>
        <v>0</v>
      </c>
      <c r="BC190" s="196">
        <v>184</v>
      </c>
      <c r="BD190" s="73" t="s">
        <v>636</v>
      </c>
      <c r="BE190" s="139" t="s">
        <v>637</v>
      </c>
      <c r="BF190" s="168">
        <v>853.90000000001601</v>
      </c>
      <c r="BG190" s="168">
        <v>26007.19</v>
      </c>
    </row>
    <row r="191" spans="1:59">
      <c r="A191" s="139" t="s">
        <v>373</v>
      </c>
      <c r="B191" s="233" t="s">
        <v>372</v>
      </c>
      <c r="C191" s="233" t="str">
        <f t="shared" si="15"/>
        <v>17417 NORTHSHORE SCHOOL DISTRICT</v>
      </c>
      <c r="D191" s="607"/>
      <c r="E191" s="607">
        <v>251313.59</v>
      </c>
      <c r="F191" s="607"/>
      <c r="G191" s="607">
        <v>61028256.649999999</v>
      </c>
      <c r="H191" s="607">
        <v>7729662.7199999997</v>
      </c>
      <c r="I191" s="607"/>
      <c r="J191" s="607">
        <v>3189763.89</v>
      </c>
      <c r="K191" s="607">
        <v>5282658.08</v>
      </c>
      <c r="L191" s="607">
        <v>807262.31</v>
      </c>
      <c r="M191" s="607">
        <v>15160783.279999999</v>
      </c>
      <c r="N191" s="608">
        <v>3.27E-2</v>
      </c>
      <c r="O191" s="608">
        <v>0.12570000000000001</v>
      </c>
      <c r="P191" s="607"/>
      <c r="Q191" s="607"/>
      <c r="R191" s="607"/>
      <c r="S191" s="607">
        <v>199978.58</v>
      </c>
      <c r="T191" s="607">
        <v>19098.54</v>
      </c>
      <c r="U191" s="607">
        <v>7046.04</v>
      </c>
      <c r="V191" s="607"/>
      <c r="W191" s="607"/>
      <c r="X191" s="607"/>
      <c r="Y191" s="607">
        <v>10699.58</v>
      </c>
      <c r="Z191" s="607"/>
      <c r="AA191" s="607"/>
      <c r="AB191" s="607">
        <v>1990129.32</v>
      </c>
      <c r="AC191" s="607">
        <v>12019365.92</v>
      </c>
      <c r="AD191" s="607">
        <v>1053.6300000000001</v>
      </c>
      <c r="AE191" s="607">
        <v>11140314.140000001</v>
      </c>
      <c r="AF191" s="148"/>
      <c r="AG191" s="148"/>
      <c r="AH191" s="148"/>
      <c r="AI191" s="607">
        <v>178.18</v>
      </c>
      <c r="AJ191" s="607">
        <v>1852083.64</v>
      </c>
      <c r="AK191" s="148"/>
      <c r="AL191" s="148"/>
      <c r="AM191" s="148"/>
      <c r="AN191" s="607"/>
      <c r="AO191" s="607"/>
      <c r="AP191" s="148"/>
      <c r="AQ191" s="168">
        <v>38455.550000002142</v>
      </c>
      <c r="AR191" s="238">
        <v>2539276.6700000004</v>
      </c>
      <c r="AU191" s="633">
        <f t="shared" si="16"/>
        <v>0</v>
      </c>
      <c r="AX191" s="358">
        <v>185</v>
      </c>
      <c r="AY191" s="301" t="s">
        <v>372</v>
      </c>
      <c r="AZ191" s="139" t="s">
        <v>373</v>
      </c>
      <c r="BA191" s="633">
        <f t="shared" si="12"/>
        <v>0</v>
      </c>
      <c r="BC191" s="196">
        <v>185</v>
      </c>
      <c r="BD191" s="73" t="s">
        <v>372</v>
      </c>
      <c r="BE191" s="139" t="s">
        <v>373</v>
      </c>
      <c r="BF191" s="168">
        <v>38455.550000002142</v>
      </c>
      <c r="BG191" s="168">
        <v>2308507.0900000003</v>
      </c>
    </row>
    <row r="192" spans="1:59">
      <c r="A192" s="139" t="s">
        <v>323</v>
      </c>
      <c r="B192" s="233" t="s">
        <v>322</v>
      </c>
      <c r="C192" s="233" t="str">
        <f t="shared" si="15"/>
        <v>15201 OAK HARBOR SCHOOL DISTRICT</v>
      </c>
      <c r="D192" s="607"/>
      <c r="E192" s="607"/>
      <c r="F192" s="607">
        <v>30733.96</v>
      </c>
      <c r="G192" s="607">
        <v>16099575.109999999</v>
      </c>
      <c r="H192" s="607">
        <v>2630213.21</v>
      </c>
      <c r="I192" s="607">
        <v>294821.90999999997</v>
      </c>
      <c r="J192" s="607">
        <v>1760765.68</v>
      </c>
      <c r="K192" s="607">
        <v>483306.87</v>
      </c>
      <c r="L192" s="607">
        <v>186716.49</v>
      </c>
      <c r="M192" s="607">
        <v>3323674.23</v>
      </c>
      <c r="N192" s="608">
        <v>5.3400000000000003E-2</v>
      </c>
      <c r="O192" s="608">
        <v>0.14779999999999999</v>
      </c>
      <c r="P192" s="607"/>
      <c r="Q192" s="607"/>
      <c r="R192" s="607"/>
      <c r="S192" s="607"/>
      <c r="T192" s="607"/>
      <c r="U192" s="607"/>
      <c r="V192" s="607"/>
      <c r="W192" s="607"/>
      <c r="X192" s="607"/>
      <c r="Y192" s="607">
        <v>4617.26</v>
      </c>
      <c r="Z192" s="607"/>
      <c r="AA192" s="607"/>
      <c r="AB192" s="607">
        <v>349241.94</v>
      </c>
      <c r="AC192" s="607">
        <v>4151000.79</v>
      </c>
      <c r="AD192" s="607">
        <v>387.86</v>
      </c>
      <c r="AE192" s="607">
        <v>3951708.38</v>
      </c>
      <c r="AF192" s="148"/>
      <c r="AG192" s="148"/>
      <c r="AH192" s="148"/>
      <c r="AI192" s="607">
        <v>33.06</v>
      </c>
      <c r="AJ192" s="607">
        <v>331032.32000000001</v>
      </c>
      <c r="AK192" s="148"/>
      <c r="AL192" s="148"/>
      <c r="AM192" s="148"/>
      <c r="AN192" s="607"/>
      <c r="AO192" s="607"/>
      <c r="AP192" s="148"/>
      <c r="AQ192" s="168">
        <v>0</v>
      </c>
      <c r="AR192" s="238">
        <v>660788.21</v>
      </c>
      <c r="AU192" s="633">
        <f t="shared" si="16"/>
        <v>0</v>
      </c>
      <c r="AX192" s="358">
        <v>186</v>
      </c>
      <c r="AY192" s="301" t="s">
        <v>322</v>
      </c>
      <c r="AZ192" s="139" t="s">
        <v>323</v>
      </c>
      <c r="BA192" s="633">
        <f t="shared" si="12"/>
        <v>0</v>
      </c>
      <c r="BC192" s="196">
        <v>186</v>
      </c>
      <c r="BD192" s="73" t="s">
        <v>322</v>
      </c>
      <c r="BE192" s="139" t="s">
        <v>323</v>
      </c>
      <c r="BF192" s="168">
        <v>0</v>
      </c>
      <c r="BG192" s="168">
        <v>529498.46</v>
      </c>
    </row>
    <row r="193" spans="1:59">
      <c r="A193" s="139" t="s">
        <v>710</v>
      </c>
      <c r="B193" s="233" t="s">
        <v>709</v>
      </c>
      <c r="C193" s="233" t="str">
        <f t="shared" si="15"/>
        <v>38324 OAKESDALE SCHOOL DISTRICT</v>
      </c>
      <c r="D193" s="607">
        <v>11875.46</v>
      </c>
      <c r="E193" s="607"/>
      <c r="F193" s="607"/>
      <c r="G193" s="607">
        <v>249792.4</v>
      </c>
      <c r="H193" s="607">
        <v>41480.879999999997</v>
      </c>
      <c r="I193" s="607"/>
      <c r="J193" s="607">
        <v>42444.81</v>
      </c>
      <c r="K193" s="607"/>
      <c r="L193" s="607">
        <v>4089.73</v>
      </c>
      <c r="M193" s="607">
        <v>497366.76</v>
      </c>
      <c r="N193" s="608">
        <v>6.3100000000000003E-2</v>
      </c>
      <c r="O193" s="608">
        <v>0.30790000000000001</v>
      </c>
      <c r="P193" s="607"/>
      <c r="Q193" s="607"/>
      <c r="R193" s="607"/>
      <c r="S193" s="607"/>
      <c r="T193" s="607"/>
      <c r="U193" s="607"/>
      <c r="V193" s="607"/>
      <c r="W193" s="607"/>
      <c r="X193" s="607"/>
      <c r="Y193" s="607">
        <v>124.55</v>
      </c>
      <c r="Z193" s="607"/>
      <c r="AA193" s="607">
        <v>2957.41</v>
      </c>
      <c r="AB193" s="607">
        <v>23092.65</v>
      </c>
      <c r="AC193" s="607">
        <v>94272.69</v>
      </c>
      <c r="AD193" s="607">
        <v>9.6300000000000008</v>
      </c>
      <c r="AE193" s="607">
        <v>90649.7</v>
      </c>
      <c r="AF193" s="148"/>
      <c r="AG193" s="148"/>
      <c r="AH193" s="148"/>
      <c r="AI193" s="607">
        <v>2.37</v>
      </c>
      <c r="AJ193" s="607">
        <v>21824.73</v>
      </c>
      <c r="AK193" s="148"/>
      <c r="AL193" s="148"/>
      <c r="AM193" s="148"/>
      <c r="AN193" s="607"/>
      <c r="AO193" s="607"/>
      <c r="AP193" s="148"/>
      <c r="AQ193" s="168">
        <v>0</v>
      </c>
      <c r="AR193" s="238">
        <v>25089.760000000002</v>
      </c>
      <c r="AU193" s="633">
        <f t="shared" si="16"/>
        <v>0</v>
      </c>
      <c r="AX193" s="358">
        <v>187</v>
      </c>
      <c r="AY193" s="301" t="s">
        <v>709</v>
      </c>
      <c r="AZ193" s="139" t="s">
        <v>710</v>
      </c>
      <c r="BA193" s="633">
        <f t="shared" si="12"/>
        <v>0</v>
      </c>
      <c r="BC193" s="196">
        <v>187</v>
      </c>
      <c r="BD193" s="73" t="s">
        <v>709</v>
      </c>
      <c r="BE193" s="139" t="s">
        <v>710</v>
      </c>
      <c r="BF193" s="168">
        <v>0</v>
      </c>
      <c r="BG193" s="168">
        <v>23053.09</v>
      </c>
    </row>
    <row r="194" spans="1:59">
      <c r="A194" s="139" t="s">
        <v>321</v>
      </c>
      <c r="B194" s="233" t="s">
        <v>320</v>
      </c>
      <c r="C194" s="233" t="str">
        <f t="shared" si="15"/>
        <v>14400 OAKVILLE SCHOOL DISTRICT</v>
      </c>
      <c r="D194" s="607"/>
      <c r="E194" s="607"/>
      <c r="F194" s="607"/>
      <c r="G194" s="607">
        <v>1202751.1100000001</v>
      </c>
      <c r="H194" s="607">
        <v>158794.29</v>
      </c>
      <c r="I194" s="607">
        <v>104343.47</v>
      </c>
      <c r="J194" s="607">
        <v>170331.85</v>
      </c>
      <c r="K194" s="607"/>
      <c r="L194" s="607">
        <v>9837.4699999999993</v>
      </c>
      <c r="M194" s="607">
        <v>346579.24</v>
      </c>
      <c r="N194" s="608">
        <v>3.8699999999999998E-2</v>
      </c>
      <c r="O194" s="608">
        <v>0.26989999999999997</v>
      </c>
      <c r="P194" s="607"/>
      <c r="Q194" s="607"/>
      <c r="R194" s="607"/>
      <c r="S194" s="607"/>
      <c r="T194" s="607"/>
      <c r="U194" s="607"/>
      <c r="V194" s="607"/>
      <c r="W194" s="607"/>
      <c r="X194" s="607"/>
      <c r="Y194" s="607">
        <v>268.76</v>
      </c>
      <c r="Z194" s="607"/>
      <c r="AA194" s="607">
        <v>259.05</v>
      </c>
      <c r="AB194" s="607">
        <v>17897.95</v>
      </c>
      <c r="AC194" s="607">
        <v>330755.82</v>
      </c>
      <c r="AD194" s="607">
        <v>30.7</v>
      </c>
      <c r="AE194" s="607">
        <v>288964.28999999998</v>
      </c>
      <c r="AF194" s="148"/>
      <c r="AG194" s="148"/>
      <c r="AH194" s="148"/>
      <c r="AI194" s="607">
        <v>1.81</v>
      </c>
      <c r="AJ194" s="607">
        <v>16890.169999999998</v>
      </c>
      <c r="AK194" s="148"/>
      <c r="AL194" s="148"/>
      <c r="AM194" s="148"/>
      <c r="AN194" s="607">
        <v>144.51</v>
      </c>
      <c r="AO194" s="607"/>
      <c r="AP194" s="148"/>
      <c r="AQ194" s="168">
        <v>9274.6900000000023</v>
      </c>
      <c r="AR194" s="238">
        <v>45850.6</v>
      </c>
      <c r="AU194" s="633">
        <f t="shared" si="16"/>
        <v>0</v>
      </c>
      <c r="AX194" s="358">
        <v>188</v>
      </c>
      <c r="AY194" s="301" t="s">
        <v>320</v>
      </c>
      <c r="AZ194" s="139" t="s">
        <v>321</v>
      </c>
      <c r="BA194" s="633">
        <f t="shared" si="12"/>
        <v>0</v>
      </c>
      <c r="BC194" s="196">
        <v>188</v>
      </c>
      <c r="BD194" s="73" t="s">
        <v>320</v>
      </c>
      <c r="BE194" s="139" t="s">
        <v>321</v>
      </c>
      <c r="BF194" s="168">
        <v>9274.6900000000023</v>
      </c>
      <c r="BG194" s="168">
        <v>38854.600000000006</v>
      </c>
    </row>
    <row r="195" spans="1:59">
      <c r="A195" s="139" t="s">
        <v>489</v>
      </c>
      <c r="B195" s="233" t="s">
        <v>488</v>
      </c>
      <c r="C195" s="233" t="str">
        <f t="shared" si="15"/>
        <v>25101 OCEAN BEACH SCHOOL DISTRICT</v>
      </c>
      <c r="D195" s="607"/>
      <c r="E195" s="607">
        <v>41220.85</v>
      </c>
      <c r="F195" s="607">
        <v>30520.22</v>
      </c>
      <c r="G195" s="607"/>
      <c r="H195" s="607">
        <v>454934.46</v>
      </c>
      <c r="I195" s="607">
        <v>303856.11</v>
      </c>
      <c r="J195" s="607">
        <v>418258.11</v>
      </c>
      <c r="K195" s="607">
        <v>90694.64</v>
      </c>
      <c r="L195" s="607">
        <v>27633.34</v>
      </c>
      <c r="M195" s="607">
        <v>1309874.75</v>
      </c>
      <c r="N195" s="608">
        <v>7.5899999999999995E-2</v>
      </c>
      <c r="O195" s="608">
        <v>0.216</v>
      </c>
      <c r="P195" s="607"/>
      <c r="Q195" s="607"/>
      <c r="R195" s="607"/>
      <c r="S195" s="607"/>
      <c r="T195" s="607"/>
      <c r="U195" s="607"/>
      <c r="V195" s="607"/>
      <c r="W195" s="607"/>
      <c r="X195" s="607"/>
      <c r="Y195" s="607">
        <v>729.26</v>
      </c>
      <c r="Z195" s="607"/>
      <c r="AA195" s="607">
        <v>91043.07</v>
      </c>
      <c r="AB195" s="607"/>
      <c r="AC195" s="607">
        <v>965678.75</v>
      </c>
      <c r="AD195" s="607">
        <v>96.63</v>
      </c>
      <c r="AE195" s="607">
        <v>910293.87</v>
      </c>
      <c r="AF195" s="148"/>
      <c r="AG195" s="148"/>
      <c r="AH195" s="148"/>
      <c r="AI195" s="607"/>
      <c r="AJ195" s="607"/>
      <c r="AK195" s="148"/>
      <c r="AL195" s="148"/>
      <c r="AM195" s="148"/>
      <c r="AN195" s="607">
        <v>694.93</v>
      </c>
      <c r="AO195" s="607">
        <v>15930.64</v>
      </c>
      <c r="AP195" s="148"/>
      <c r="AQ195" s="168">
        <v>24335.629999999946</v>
      </c>
      <c r="AR195" s="238">
        <v>85970.67</v>
      </c>
      <c r="AU195" s="633">
        <f t="shared" si="16"/>
        <v>0</v>
      </c>
      <c r="AX195" s="358">
        <v>189</v>
      </c>
      <c r="AY195" s="301" t="s">
        <v>488</v>
      </c>
      <c r="AZ195" s="139" t="s">
        <v>489</v>
      </c>
      <c r="BA195" s="633">
        <f t="shared" si="12"/>
        <v>0</v>
      </c>
      <c r="BC195" s="196">
        <v>189</v>
      </c>
      <c r="BD195" s="73" t="s">
        <v>488</v>
      </c>
      <c r="BE195" s="139" t="s">
        <v>489</v>
      </c>
      <c r="BF195" s="168">
        <v>24335.629999999946</v>
      </c>
      <c r="BG195" s="168">
        <v>86058.48</v>
      </c>
    </row>
    <row r="196" spans="1:59">
      <c r="A196" s="139" t="s">
        <v>319</v>
      </c>
      <c r="B196" s="233" t="s">
        <v>318</v>
      </c>
      <c r="C196" s="233" t="str">
        <f t="shared" si="15"/>
        <v>14172 OCOSTA SCHOOL DISTRICT</v>
      </c>
      <c r="D196" s="607"/>
      <c r="E196" s="607">
        <v>16177.06</v>
      </c>
      <c r="F196" s="607">
        <v>15512.2</v>
      </c>
      <c r="G196" s="607">
        <v>906325.88</v>
      </c>
      <c r="H196" s="607">
        <v>143306.16</v>
      </c>
      <c r="I196" s="607">
        <v>187132.92</v>
      </c>
      <c r="J196" s="607">
        <v>297003.03999999998</v>
      </c>
      <c r="K196" s="607">
        <v>115875.45</v>
      </c>
      <c r="L196" s="607">
        <v>17243.21</v>
      </c>
      <c r="M196" s="607">
        <v>721632.56</v>
      </c>
      <c r="N196" s="608">
        <v>3.32E-2</v>
      </c>
      <c r="O196" s="608">
        <v>0.22600000000000001</v>
      </c>
      <c r="P196" s="607"/>
      <c r="Q196" s="607"/>
      <c r="R196" s="607"/>
      <c r="S196" s="607"/>
      <c r="T196" s="607"/>
      <c r="U196" s="607"/>
      <c r="V196" s="607"/>
      <c r="W196" s="607"/>
      <c r="X196" s="607"/>
      <c r="Y196" s="607">
        <v>462.14</v>
      </c>
      <c r="Z196" s="607">
        <v>1585.18</v>
      </c>
      <c r="AA196" s="607">
        <v>14266.65</v>
      </c>
      <c r="AB196" s="607">
        <v>82196.77</v>
      </c>
      <c r="AC196" s="607">
        <v>282071.38</v>
      </c>
      <c r="AD196" s="607">
        <v>26.27</v>
      </c>
      <c r="AE196" s="607">
        <v>247336.32000000001</v>
      </c>
      <c r="AF196" s="148"/>
      <c r="AG196" s="148"/>
      <c r="AH196" s="148"/>
      <c r="AI196" s="607">
        <v>8.2799999999999994</v>
      </c>
      <c r="AJ196" s="607">
        <v>76551.25</v>
      </c>
      <c r="AK196" s="148"/>
      <c r="AL196" s="148"/>
      <c r="AM196" s="148"/>
      <c r="AN196" s="607">
        <v>14744.69</v>
      </c>
      <c r="AO196" s="607"/>
      <c r="AP196" s="148"/>
      <c r="AQ196" s="168">
        <v>103270.12000000001</v>
      </c>
      <c r="AR196" s="238">
        <v>66637.850000000006</v>
      </c>
      <c r="AU196" s="633">
        <f t="shared" si="16"/>
        <v>0</v>
      </c>
      <c r="AX196" s="358">
        <v>190</v>
      </c>
      <c r="AY196" s="301" t="s">
        <v>318</v>
      </c>
      <c r="AZ196" s="139" t="s">
        <v>319</v>
      </c>
      <c r="BA196" s="633">
        <f t="shared" si="12"/>
        <v>0</v>
      </c>
      <c r="BC196" s="196">
        <v>190</v>
      </c>
      <c r="BD196" s="73" t="s">
        <v>318</v>
      </c>
      <c r="BE196" s="139" t="s">
        <v>319</v>
      </c>
      <c r="BF196" s="168">
        <v>103270.12000000001</v>
      </c>
      <c r="BG196" s="168">
        <v>59021.29</v>
      </c>
    </row>
    <row r="197" spans="1:59">
      <c r="A197" s="139" t="s">
        <v>451</v>
      </c>
      <c r="B197" s="233" t="s">
        <v>450</v>
      </c>
      <c r="C197" s="233" t="str">
        <f t="shared" si="15"/>
        <v>22105 ODESSA SCHOOL DISTRICT</v>
      </c>
      <c r="D197" s="607"/>
      <c r="E197" s="607"/>
      <c r="F197" s="607"/>
      <c r="G197" s="607">
        <v>439997.19</v>
      </c>
      <c r="H197" s="607">
        <v>75584.14</v>
      </c>
      <c r="I197" s="607">
        <v>72463.070000000007</v>
      </c>
      <c r="J197" s="607">
        <v>84006.86</v>
      </c>
      <c r="K197" s="607"/>
      <c r="L197" s="607">
        <v>6400.51</v>
      </c>
      <c r="M197" s="607">
        <v>398894.31</v>
      </c>
      <c r="N197" s="608">
        <v>3.3099999999999997E-2</v>
      </c>
      <c r="O197" s="608">
        <v>0.26429999999999998</v>
      </c>
      <c r="P197" s="607"/>
      <c r="Q197" s="607"/>
      <c r="R197" s="607"/>
      <c r="S197" s="607"/>
      <c r="T197" s="607"/>
      <c r="U197" s="607"/>
      <c r="V197" s="607"/>
      <c r="W197" s="607"/>
      <c r="X197" s="607"/>
      <c r="Y197" s="607"/>
      <c r="Z197" s="607"/>
      <c r="AA197" s="607"/>
      <c r="AB197" s="607">
        <v>19426.5</v>
      </c>
      <c r="AC197" s="607">
        <v>75105.399999999994</v>
      </c>
      <c r="AD197" s="607">
        <v>7.28</v>
      </c>
      <c r="AE197" s="607">
        <v>69948.91</v>
      </c>
      <c r="AF197" s="148"/>
      <c r="AG197" s="148"/>
      <c r="AH197" s="148"/>
      <c r="AI197" s="607">
        <v>1.92</v>
      </c>
      <c r="AJ197" s="607">
        <v>18062.14</v>
      </c>
      <c r="AK197" s="148"/>
      <c r="AL197" s="148"/>
      <c r="AM197" s="148"/>
      <c r="AN197" s="607"/>
      <c r="AO197" s="607"/>
      <c r="AP197" s="148"/>
      <c r="AQ197" s="168">
        <v>0</v>
      </c>
      <c r="AR197" s="238">
        <v>34466.5</v>
      </c>
      <c r="AU197" s="633">
        <f t="shared" si="16"/>
        <v>0</v>
      </c>
      <c r="AX197" s="358">
        <v>191</v>
      </c>
      <c r="AY197" s="301" t="s">
        <v>450</v>
      </c>
      <c r="AZ197" s="139" t="s">
        <v>451</v>
      </c>
      <c r="BA197" s="633">
        <f t="shared" si="12"/>
        <v>0</v>
      </c>
      <c r="BC197" s="196">
        <v>191</v>
      </c>
      <c r="BD197" s="73" t="s">
        <v>450</v>
      </c>
      <c r="BE197" s="139" t="s">
        <v>451</v>
      </c>
      <c r="BF197" s="168">
        <v>0</v>
      </c>
      <c r="BG197" s="168">
        <v>30730.439999999995</v>
      </c>
    </row>
    <row r="198" spans="1:59">
      <c r="A198" s="139" t="s">
        <v>477</v>
      </c>
      <c r="B198" s="233" t="s">
        <v>476</v>
      </c>
      <c r="C198" s="233" t="str">
        <f t="shared" si="15"/>
        <v>24105 OKANOGAN SCHOOL DISTRICT</v>
      </c>
      <c r="D198" s="607"/>
      <c r="E198" s="607">
        <v>3720.5</v>
      </c>
      <c r="F198" s="607">
        <v>3707.57</v>
      </c>
      <c r="G198" s="607">
        <v>1981997.43</v>
      </c>
      <c r="H198" s="607">
        <v>356662.83</v>
      </c>
      <c r="I198" s="607">
        <v>346964.11</v>
      </c>
      <c r="J198" s="607">
        <v>459818.63</v>
      </c>
      <c r="K198" s="607">
        <v>160677.74</v>
      </c>
      <c r="L198" s="607">
        <v>32828.400000000001</v>
      </c>
      <c r="M198" s="607">
        <v>979458.46</v>
      </c>
      <c r="N198" s="608">
        <v>5.7000000000000002E-2</v>
      </c>
      <c r="O198" s="608">
        <v>0.18909999999999999</v>
      </c>
      <c r="P198" s="607"/>
      <c r="Q198" s="607"/>
      <c r="R198" s="607"/>
      <c r="S198" s="607">
        <v>161156.42000000001</v>
      </c>
      <c r="T198" s="607">
        <v>10582.86</v>
      </c>
      <c r="U198" s="607">
        <v>6069.04</v>
      </c>
      <c r="V198" s="607"/>
      <c r="W198" s="607"/>
      <c r="X198" s="607"/>
      <c r="Y198" s="607">
        <v>770.23</v>
      </c>
      <c r="Z198" s="607">
        <v>18717.2</v>
      </c>
      <c r="AA198" s="607">
        <v>43673.46</v>
      </c>
      <c r="AB198" s="607">
        <v>291084.05</v>
      </c>
      <c r="AC198" s="607">
        <v>727707.77</v>
      </c>
      <c r="AD198" s="607">
        <v>74.16</v>
      </c>
      <c r="AE198" s="607">
        <v>698439.02</v>
      </c>
      <c r="AF198" s="148"/>
      <c r="AG198" s="148"/>
      <c r="AH198" s="148"/>
      <c r="AI198" s="607">
        <v>29.81</v>
      </c>
      <c r="AJ198" s="607">
        <v>275329.12</v>
      </c>
      <c r="AK198" s="148"/>
      <c r="AL198" s="148"/>
      <c r="AM198" s="148"/>
      <c r="AN198" s="607"/>
      <c r="AO198" s="607"/>
      <c r="AP198" s="148"/>
      <c r="AQ198" s="168">
        <v>15378.299999999974</v>
      </c>
      <c r="AR198" s="238">
        <v>112968.09000000001</v>
      </c>
      <c r="AU198" s="633">
        <f t="shared" si="16"/>
        <v>0</v>
      </c>
      <c r="AX198" s="358">
        <v>192</v>
      </c>
      <c r="AY198" s="301" t="s">
        <v>476</v>
      </c>
      <c r="AZ198" s="139" t="s">
        <v>477</v>
      </c>
      <c r="BA198" s="633">
        <f t="shared" si="12"/>
        <v>0</v>
      </c>
      <c r="BC198" s="196">
        <v>192</v>
      </c>
      <c r="BD198" s="73" t="s">
        <v>476</v>
      </c>
      <c r="BE198" s="139" t="s">
        <v>477</v>
      </c>
      <c r="BF198" s="168">
        <v>15378.299999999974</v>
      </c>
      <c r="BG198" s="168">
        <v>96207.35000000002</v>
      </c>
    </row>
    <row r="199" spans="1:59">
      <c r="A199" s="139" t="s">
        <v>647</v>
      </c>
      <c r="B199" s="233" t="s">
        <v>646</v>
      </c>
      <c r="C199" s="233" t="str">
        <f t="shared" si="15"/>
        <v>34111 OLYMPIA SCHOOL DISTRICT</v>
      </c>
      <c r="D199" s="607"/>
      <c r="E199" s="607">
        <v>1985.91</v>
      </c>
      <c r="F199" s="607">
        <v>19470.419999999998</v>
      </c>
      <c r="G199" s="607">
        <v>24243265.390000001</v>
      </c>
      <c r="H199" s="607">
        <v>3603048.82</v>
      </c>
      <c r="I199" s="607">
        <v>206531.14</v>
      </c>
      <c r="J199" s="607">
        <v>2299501.9300000002</v>
      </c>
      <c r="K199" s="607">
        <v>707416.71</v>
      </c>
      <c r="L199" s="607">
        <v>307682.25</v>
      </c>
      <c r="M199" s="607">
        <v>5525687.6600000001</v>
      </c>
      <c r="N199" s="608">
        <v>2.64E-2</v>
      </c>
      <c r="O199" s="608">
        <v>0.15579999999999999</v>
      </c>
      <c r="P199" s="607"/>
      <c r="Q199" s="607"/>
      <c r="R199" s="607"/>
      <c r="S199" s="607">
        <v>181265.16</v>
      </c>
      <c r="T199" s="607">
        <v>4839.63</v>
      </c>
      <c r="U199" s="607">
        <v>6306.5</v>
      </c>
      <c r="V199" s="607"/>
      <c r="W199" s="607"/>
      <c r="X199" s="607"/>
      <c r="Y199" s="607">
        <v>7910.38</v>
      </c>
      <c r="Z199" s="607"/>
      <c r="AA199" s="607">
        <v>23724.55</v>
      </c>
      <c r="AB199" s="607">
        <v>1138029.74</v>
      </c>
      <c r="AC199" s="607">
        <v>6365658.0499999998</v>
      </c>
      <c r="AD199" s="607">
        <v>565.86</v>
      </c>
      <c r="AE199" s="607">
        <v>5435092.8300000001</v>
      </c>
      <c r="AF199" s="148"/>
      <c r="AG199" s="148"/>
      <c r="AH199" s="148"/>
      <c r="AI199" s="607">
        <v>111.5</v>
      </c>
      <c r="AJ199" s="607">
        <v>1050866.7</v>
      </c>
      <c r="AK199" s="148"/>
      <c r="AL199" s="148"/>
      <c r="AM199" s="148"/>
      <c r="AN199" s="607">
        <v>29828.22</v>
      </c>
      <c r="AO199" s="607"/>
      <c r="AP199" s="148"/>
      <c r="AQ199" s="168">
        <v>0</v>
      </c>
      <c r="AR199" s="238">
        <v>971366.16</v>
      </c>
      <c r="AU199" s="633">
        <f t="shared" si="16"/>
        <v>0</v>
      </c>
      <c r="AX199" s="358">
        <v>193</v>
      </c>
      <c r="AY199" s="301" t="s">
        <v>646</v>
      </c>
      <c r="AZ199" s="139" t="s">
        <v>647</v>
      </c>
      <c r="BA199" s="633">
        <f t="shared" si="12"/>
        <v>0</v>
      </c>
      <c r="BC199" s="196">
        <v>193</v>
      </c>
      <c r="BD199" s="73" t="s">
        <v>646</v>
      </c>
      <c r="BE199" s="139" t="s">
        <v>647</v>
      </c>
      <c r="BF199" s="168">
        <v>0</v>
      </c>
      <c r="BG199" s="168">
        <v>820909.89</v>
      </c>
    </row>
    <row r="200" spans="1:59">
      <c r="A200" s="139" t="s">
        <v>475</v>
      </c>
      <c r="B200" s="233" t="s">
        <v>474</v>
      </c>
      <c r="C200" s="233" t="str">
        <f t="shared" si="15"/>
        <v>24019 OMAK SCHOOL DISTRICT</v>
      </c>
      <c r="D200" s="607"/>
      <c r="E200" s="607">
        <v>223759.38</v>
      </c>
      <c r="F200" s="607">
        <v>181740.46</v>
      </c>
      <c r="G200" s="607">
        <v>12297426.82</v>
      </c>
      <c r="H200" s="607">
        <v>2346877.44</v>
      </c>
      <c r="I200" s="607">
        <v>1936985.96</v>
      </c>
      <c r="J200" s="607">
        <v>2981857.47</v>
      </c>
      <c r="K200" s="607">
        <v>711495</v>
      </c>
      <c r="L200" s="607">
        <v>194538.65</v>
      </c>
      <c r="M200" s="607">
        <v>1222017.8600000001</v>
      </c>
      <c r="N200" s="608">
        <v>4.2999999999999997E-2</v>
      </c>
      <c r="O200" s="608">
        <v>0.12429999999999999</v>
      </c>
      <c r="P200" s="607"/>
      <c r="Q200" s="607"/>
      <c r="R200" s="607"/>
      <c r="S200" s="607"/>
      <c r="T200" s="607"/>
      <c r="U200" s="607"/>
      <c r="V200" s="607"/>
      <c r="W200" s="607"/>
      <c r="X200" s="607"/>
      <c r="Y200" s="607">
        <v>4909.78</v>
      </c>
      <c r="Z200" s="607"/>
      <c r="AA200" s="607">
        <v>108739.24</v>
      </c>
      <c r="AB200" s="607">
        <v>409222.98</v>
      </c>
      <c r="AC200" s="607">
        <v>1443194.81</v>
      </c>
      <c r="AD200" s="607">
        <v>125.49</v>
      </c>
      <c r="AE200" s="607">
        <v>1181925.72</v>
      </c>
      <c r="AF200" s="148"/>
      <c r="AG200" s="148"/>
      <c r="AH200" s="148"/>
      <c r="AI200" s="607">
        <v>41.61</v>
      </c>
      <c r="AJ200" s="607">
        <v>384373.38</v>
      </c>
      <c r="AK200" s="148"/>
      <c r="AL200" s="148"/>
      <c r="AM200" s="148"/>
      <c r="AN200" s="607"/>
      <c r="AO200" s="607"/>
      <c r="AP200" s="148"/>
      <c r="AQ200" s="168">
        <v>0</v>
      </c>
      <c r="AR200" s="238">
        <v>297767.88999999996</v>
      </c>
      <c r="AU200" s="633">
        <f t="shared" si="16"/>
        <v>0</v>
      </c>
      <c r="AX200" s="358">
        <v>194</v>
      </c>
      <c r="AY200" s="301" t="s">
        <v>474</v>
      </c>
      <c r="AZ200" s="139" t="s">
        <v>475</v>
      </c>
      <c r="BA200" s="633">
        <f t="shared" ref="BA200:BA263" si="17">+AY200-BD200</f>
        <v>0</v>
      </c>
      <c r="BC200" s="196">
        <v>194</v>
      </c>
      <c r="BD200" s="73" t="s">
        <v>474</v>
      </c>
      <c r="BE200" s="139" t="s">
        <v>475</v>
      </c>
      <c r="BF200" s="168">
        <v>0</v>
      </c>
      <c r="BG200" s="168">
        <v>197009.51</v>
      </c>
    </row>
    <row r="201" spans="1:59">
      <c r="A201" s="139" t="s">
        <v>433</v>
      </c>
      <c r="B201" s="233" t="s">
        <v>432</v>
      </c>
      <c r="C201" s="233" t="str">
        <f t="shared" si="15"/>
        <v>21300 ONALASKA SCHOOL DISTRICT</v>
      </c>
      <c r="D201" s="607"/>
      <c r="E201" s="607"/>
      <c r="F201" s="607"/>
      <c r="G201" s="607">
        <v>2087563.6</v>
      </c>
      <c r="H201" s="607">
        <v>313555.64</v>
      </c>
      <c r="I201" s="607">
        <v>283075.84999999998</v>
      </c>
      <c r="J201" s="607">
        <v>346632.5</v>
      </c>
      <c r="K201" s="607"/>
      <c r="L201" s="607">
        <v>24870.01</v>
      </c>
      <c r="M201" s="607">
        <v>820163.14</v>
      </c>
      <c r="N201" s="608">
        <v>3.5700000000000003E-2</v>
      </c>
      <c r="O201" s="608">
        <v>0.17169999999999999</v>
      </c>
      <c r="P201" s="607"/>
      <c r="Q201" s="607"/>
      <c r="R201" s="607"/>
      <c r="S201" s="607"/>
      <c r="T201" s="607"/>
      <c r="U201" s="607"/>
      <c r="V201" s="607"/>
      <c r="W201" s="607"/>
      <c r="X201" s="607"/>
      <c r="Y201" s="607">
        <v>531.78</v>
      </c>
      <c r="Z201" s="607"/>
      <c r="AA201" s="607">
        <v>41537.32</v>
      </c>
      <c r="AB201" s="607">
        <v>115454.53</v>
      </c>
      <c r="AC201" s="607">
        <v>1144655.1100000001</v>
      </c>
      <c r="AD201" s="607">
        <v>111.6</v>
      </c>
      <c r="AE201" s="607">
        <v>1051300.26</v>
      </c>
      <c r="AF201" s="148"/>
      <c r="AG201" s="148"/>
      <c r="AH201" s="148"/>
      <c r="AI201" s="607">
        <v>11.66</v>
      </c>
      <c r="AJ201" s="607">
        <v>107761.18</v>
      </c>
      <c r="AK201" s="148"/>
      <c r="AL201" s="148"/>
      <c r="AM201" s="148"/>
      <c r="AN201" s="607"/>
      <c r="AO201" s="607"/>
      <c r="AP201" s="148"/>
      <c r="AQ201" s="168">
        <v>5954.0099999999948</v>
      </c>
      <c r="AR201" s="238">
        <v>93489.550000000017</v>
      </c>
      <c r="AU201" s="633">
        <f t="shared" si="16"/>
        <v>0</v>
      </c>
      <c r="AX201" s="358">
        <v>195</v>
      </c>
      <c r="AY201" s="301" t="s">
        <v>432</v>
      </c>
      <c r="AZ201" s="139" t="s">
        <v>433</v>
      </c>
      <c r="BA201" s="633">
        <f t="shared" si="17"/>
        <v>0</v>
      </c>
      <c r="BC201" s="196">
        <v>195</v>
      </c>
      <c r="BD201" s="73" t="s">
        <v>432</v>
      </c>
      <c r="BE201" s="139" t="s">
        <v>433</v>
      </c>
      <c r="BF201" s="168">
        <v>5954.0099999999948</v>
      </c>
      <c r="BG201" s="168">
        <v>79221.10000000002</v>
      </c>
    </row>
    <row r="202" spans="1:59">
      <c r="A202" s="139" t="s">
        <v>619</v>
      </c>
      <c r="B202" s="235" t="s">
        <v>618</v>
      </c>
      <c r="C202" s="233" t="str">
        <f t="shared" si="15"/>
        <v>33030 ONION CREEK SCHOOL DISTRICT</v>
      </c>
      <c r="D202" s="607"/>
      <c r="E202" s="607"/>
      <c r="F202" s="607"/>
      <c r="G202" s="607">
        <v>168986.41</v>
      </c>
      <c r="H202" s="607">
        <v>29298.34</v>
      </c>
      <c r="I202" s="607">
        <v>13374.53</v>
      </c>
      <c r="J202" s="607">
        <v>20669.73</v>
      </c>
      <c r="K202" s="607"/>
      <c r="L202" s="607"/>
      <c r="M202" s="607">
        <v>123608.58</v>
      </c>
      <c r="N202" s="608">
        <v>7.7499999999999999E-2</v>
      </c>
      <c r="O202" s="608">
        <v>0.2319</v>
      </c>
      <c r="P202" s="607"/>
      <c r="Q202" s="607"/>
      <c r="R202" s="607"/>
      <c r="S202" s="607"/>
      <c r="T202" s="607"/>
      <c r="U202" s="607"/>
      <c r="V202" s="607"/>
      <c r="W202" s="607"/>
      <c r="X202" s="607"/>
      <c r="Y202" s="607">
        <v>51.62</v>
      </c>
      <c r="Z202" s="607"/>
      <c r="AA202" s="607"/>
      <c r="AB202" s="607"/>
      <c r="AC202" s="607"/>
      <c r="AD202" s="607"/>
      <c r="AE202" s="607"/>
      <c r="AF202" s="148"/>
      <c r="AG202" s="148"/>
      <c r="AH202" s="148"/>
      <c r="AI202" s="607"/>
      <c r="AJ202" s="607"/>
      <c r="AK202" s="148"/>
      <c r="AL202" s="148"/>
      <c r="AM202" s="148"/>
      <c r="AN202" s="607"/>
      <c r="AO202" s="607"/>
      <c r="AP202" s="148"/>
      <c r="AQ202" s="168">
        <v>15778.569999999994</v>
      </c>
      <c r="AR202" s="238">
        <v>7641.49</v>
      </c>
      <c r="AU202" s="633">
        <f t="shared" si="16"/>
        <v>0</v>
      </c>
      <c r="AX202" s="358">
        <v>196</v>
      </c>
      <c r="AY202" s="301" t="s">
        <v>618</v>
      </c>
      <c r="AZ202" s="139" t="s">
        <v>619</v>
      </c>
      <c r="BA202" s="633">
        <f t="shared" si="17"/>
        <v>0</v>
      </c>
      <c r="BC202" s="196">
        <v>196</v>
      </c>
      <c r="BD202" s="173" t="s">
        <v>618</v>
      </c>
      <c r="BE202" s="139" t="s">
        <v>619</v>
      </c>
      <c r="BF202" s="168">
        <v>15778.569999999994</v>
      </c>
      <c r="BG202" s="168">
        <v>6248.05</v>
      </c>
    </row>
    <row r="203" spans="1:59">
      <c r="A203" s="139" t="s">
        <v>538</v>
      </c>
      <c r="B203" s="233" t="s">
        <v>537</v>
      </c>
      <c r="C203" s="233" t="str">
        <f t="shared" si="15"/>
        <v>28137 ORCAS SCHOOL DISTRICT</v>
      </c>
      <c r="D203" s="607"/>
      <c r="E203" s="607"/>
      <c r="F203" s="607"/>
      <c r="G203" s="607">
        <v>2076315.14</v>
      </c>
      <c r="H203" s="607">
        <v>281533.78000000003</v>
      </c>
      <c r="I203" s="607"/>
      <c r="J203" s="607">
        <v>181841.38</v>
      </c>
      <c r="K203" s="607">
        <v>100243.21</v>
      </c>
      <c r="L203" s="607">
        <v>27544.35</v>
      </c>
      <c r="M203" s="607">
        <v>221652.26</v>
      </c>
      <c r="N203" s="608">
        <v>0.1055</v>
      </c>
      <c r="O203" s="608">
        <v>0.26369999999999999</v>
      </c>
      <c r="P203" s="607"/>
      <c r="Q203" s="607"/>
      <c r="R203" s="607"/>
      <c r="S203" s="607"/>
      <c r="T203" s="607"/>
      <c r="U203" s="607"/>
      <c r="V203" s="607"/>
      <c r="W203" s="607"/>
      <c r="X203" s="607"/>
      <c r="Y203" s="607">
        <v>647.32000000000005</v>
      </c>
      <c r="Z203" s="607"/>
      <c r="AA203" s="607"/>
      <c r="AB203" s="607"/>
      <c r="AC203" s="607">
        <v>115018.06</v>
      </c>
      <c r="AD203" s="607">
        <v>10.64</v>
      </c>
      <c r="AE203" s="607">
        <v>108379.95</v>
      </c>
      <c r="AF203" s="148"/>
      <c r="AG203" s="148"/>
      <c r="AH203" s="148"/>
      <c r="AI203" s="607"/>
      <c r="AJ203" s="607"/>
      <c r="AK203" s="148"/>
      <c r="AL203" s="148"/>
      <c r="AM203" s="148"/>
      <c r="AN203" s="607">
        <v>3082.53</v>
      </c>
      <c r="AO203" s="607"/>
      <c r="AP203" s="148"/>
      <c r="AQ203" s="168">
        <v>39648.839999999967</v>
      </c>
      <c r="AR203" s="238">
        <v>65983.320000000007</v>
      </c>
      <c r="AU203" s="633">
        <f t="shared" si="16"/>
        <v>0</v>
      </c>
      <c r="AX203" s="358">
        <v>197</v>
      </c>
      <c r="AY203" s="301" t="s">
        <v>537</v>
      </c>
      <c r="AZ203" s="139" t="s">
        <v>538</v>
      </c>
      <c r="BA203" s="633">
        <f t="shared" si="17"/>
        <v>0</v>
      </c>
      <c r="BC203" s="196">
        <v>197</v>
      </c>
      <c r="BD203" s="73" t="s">
        <v>537</v>
      </c>
      <c r="BE203" s="139" t="s">
        <v>538</v>
      </c>
      <c r="BF203" s="168">
        <v>39648.839999999967</v>
      </c>
      <c r="BG203" s="168">
        <v>52329.429999999993</v>
      </c>
    </row>
    <row r="204" spans="1:59">
      <c r="A204" s="139" t="s">
        <v>595</v>
      </c>
      <c r="B204" s="233" t="s">
        <v>594</v>
      </c>
      <c r="C204" s="233" t="str">
        <f t="shared" si="15"/>
        <v>32123 ORCHARD PRAIRIE SCHOOL DISTRICT</v>
      </c>
      <c r="D204" s="607"/>
      <c r="E204" s="607"/>
      <c r="F204" s="607"/>
      <c r="G204" s="607">
        <v>98460.25</v>
      </c>
      <c r="H204" s="607">
        <v>15901.41</v>
      </c>
      <c r="I204" s="607"/>
      <c r="J204" s="607"/>
      <c r="K204" s="607"/>
      <c r="L204" s="607"/>
      <c r="M204" s="607">
        <v>68940.25</v>
      </c>
      <c r="N204" s="608">
        <v>2.8000000000000001E-2</v>
      </c>
      <c r="O204" s="608">
        <v>0.34460000000000002</v>
      </c>
      <c r="P204" s="607"/>
      <c r="Q204" s="607"/>
      <c r="R204" s="607"/>
      <c r="S204" s="607"/>
      <c r="T204" s="607"/>
      <c r="U204" s="607"/>
      <c r="V204" s="607"/>
      <c r="W204" s="607"/>
      <c r="X204" s="607"/>
      <c r="Y204" s="607">
        <v>72.930000000000007</v>
      </c>
      <c r="Z204" s="607"/>
      <c r="AA204" s="607"/>
      <c r="AB204" s="607"/>
      <c r="AC204" s="607"/>
      <c r="AD204" s="607"/>
      <c r="AE204" s="607"/>
      <c r="AF204" s="148"/>
      <c r="AG204" s="148"/>
      <c r="AH204" s="148"/>
      <c r="AI204" s="607"/>
      <c r="AJ204" s="607"/>
      <c r="AK204" s="148"/>
      <c r="AL204" s="148"/>
      <c r="AM204" s="148"/>
      <c r="AN204" s="607"/>
      <c r="AO204" s="607"/>
      <c r="AP204" s="148"/>
      <c r="AQ204" s="168">
        <v>31999.739999999994</v>
      </c>
      <c r="AR204" s="238">
        <v>10809.39</v>
      </c>
      <c r="AU204" s="633">
        <f t="shared" si="16"/>
        <v>0</v>
      </c>
      <c r="AX204" s="358">
        <v>198</v>
      </c>
      <c r="AY204" s="301" t="s">
        <v>594</v>
      </c>
      <c r="AZ204" s="139" t="s">
        <v>595</v>
      </c>
      <c r="BA204" s="633">
        <f t="shared" si="17"/>
        <v>0</v>
      </c>
      <c r="BC204" s="196">
        <v>198</v>
      </c>
      <c r="BD204" s="73" t="s">
        <v>594</v>
      </c>
      <c r="BE204" s="139" t="s">
        <v>595</v>
      </c>
      <c r="BF204" s="168">
        <v>31999.739999999994</v>
      </c>
      <c r="BG204" s="168">
        <v>10031.26</v>
      </c>
    </row>
    <row r="205" spans="1:59">
      <c r="A205" s="139" t="s">
        <v>262</v>
      </c>
      <c r="B205" s="233" t="s">
        <v>261</v>
      </c>
      <c r="C205" s="233" t="str">
        <f t="shared" si="15"/>
        <v>10065 ORIENT SCHOOL DISTRICT</v>
      </c>
      <c r="D205" s="607"/>
      <c r="E205" s="607"/>
      <c r="F205" s="607"/>
      <c r="G205" s="607">
        <v>121596.56</v>
      </c>
      <c r="H205" s="607">
        <v>19565.47</v>
      </c>
      <c r="I205" s="607">
        <v>13927.19</v>
      </c>
      <c r="J205" s="607">
        <v>21885.59</v>
      </c>
      <c r="K205" s="607"/>
      <c r="L205" s="607">
        <v>1436.93</v>
      </c>
      <c r="M205" s="607">
        <v>312813.27</v>
      </c>
      <c r="N205" s="608">
        <v>7.2700000000000001E-2</v>
      </c>
      <c r="O205" s="608">
        <v>0.25640000000000002</v>
      </c>
      <c r="P205" s="607"/>
      <c r="Q205" s="607"/>
      <c r="R205" s="607"/>
      <c r="S205" s="607"/>
      <c r="T205" s="607"/>
      <c r="U205" s="607"/>
      <c r="V205" s="607"/>
      <c r="W205" s="607"/>
      <c r="X205" s="607"/>
      <c r="Y205" s="607">
        <v>38.51</v>
      </c>
      <c r="Z205" s="607"/>
      <c r="AA205" s="607"/>
      <c r="AB205" s="607"/>
      <c r="AC205" s="607"/>
      <c r="AD205" s="607"/>
      <c r="AE205" s="607"/>
      <c r="AF205" s="148"/>
      <c r="AG205" s="148"/>
      <c r="AH205" s="148"/>
      <c r="AI205" s="607"/>
      <c r="AJ205" s="607"/>
      <c r="AK205" s="148"/>
      <c r="AL205" s="148"/>
      <c r="AM205" s="148"/>
      <c r="AN205" s="607">
        <v>256.42</v>
      </c>
      <c r="AO205" s="607"/>
      <c r="AP205" s="148"/>
      <c r="AQ205" s="168">
        <v>11251.7</v>
      </c>
      <c r="AR205" s="238">
        <v>7264.54</v>
      </c>
      <c r="AU205" s="633">
        <f t="shared" si="16"/>
        <v>0</v>
      </c>
      <c r="AX205" s="358">
        <v>199</v>
      </c>
      <c r="AY205" s="301" t="s">
        <v>261</v>
      </c>
      <c r="AZ205" s="139" t="s">
        <v>262</v>
      </c>
      <c r="BA205" s="633">
        <f t="shared" si="17"/>
        <v>0</v>
      </c>
      <c r="BC205" s="196">
        <v>199</v>
      </c>
      <c r="BD205" s="73" t="s">
        <v>261</v>
      </c>
      <c r="BE205" s="139" t="s">
        <v>262</v>
      </c>
      <c r="BF205" s="168">
        <v>11251.7</v>
      </c>
      <c r="BG205" s="168">
        <v>6286.74</v>
      </c>
    </row>
    <row r="206" spans="1:59">
      <c r="A206" s="139" t="s">
        <v>246</v>
      </c>
      <c r="B206" s="233" t="s">
        <v>245</v>
      </c>
      <c r="C206" s="233" t="str">
        <f t="shared" si="15"/>
        <v>09013 ORONDO SCHOOL DISTRICT</v>
      </c>
      <c r="D206" s="607"/>
      <c r="E206" s="607">
        <v>796.51</v>
      </c>
      <c r="F206" s="607"/>
      <c r="G206" s="607"/>
      <c r="H206" s="607">
        <v>27627.77</v>
      </c>
      <c r="I206" s="607">
        <v>35039.06</v>
      </c>
      <c r="J206" s="607">
        <v>68199.06</v>
      </c>
      <c r="K206" s="607">
        <v>102140.47</v>
      </c>
      <c r="L206" s="607">
        <v>3537.07</v>
      </c>
      <c r="M206" s="607">
        <v>347171.51</v>
      </c>
      <c r="N206" s="608">
        <v>0.10290000000000001</v>
      </c>
      <c r="O206" s="608">
        <v>0.23569999999999999</v>
      </c>
      <c r="P206" s="607"/>
      <c r="Q206" s="607"/>
      <c r="R206" s="607"/>
      <c r="S206" s="607"/>
      <c r="T206" s="607"/>
      <c r="U206" s="607"/>
      <c r="V206" s="607"/>
      <c r="W206" s="607"/>
      <c r="X206" s="607"/>
      <c r="Y206" s="607">
        <v>107.34</v>
      </c>
      <c r="Z206" s="607"/>
      <c r="AA206" s="607"/>
      <c r="AB206" s="607">
        <v>44013.56</v>
      </c>
      <c r="AC206" s="607"/>
      <c r="AD206" s="607"/>
      <c r="AE206" s="607"/>
      <c r="AF206" s="148"/>
      <c r="AG206" s="148"/>
      <c r="AH206" s="148"/>
      <c r="AI206" s="607">
        <v>4.51</v>
      </c>
      <c r="AJ206" s="607">
        <v>41693.54</v>
      </c>
      <c r="AK206" s="148"/>
      <c r="AL206" s="148"/>
      <c r="AM206" s="148"/>
      <c r="AN206" s="607"/>
      <c r="AO206" s="607"/>
      <c r="AP206" s="148"/>
      <c r="AQ206" s="168">
        <v>595.07999999999811</v>
      </c>
      <c r="AR206" s="238">
        <v>14319.179999999998</v>
      </c>
      <c r="AU206" s="633">
        <f t="shared" si="16"/>
        <v>0</v>
      </c>
      <c r="AX206" s="358">
        <v>200</v>
      </c>
      <c r="AY206" s="301" t="s">
        <v>245</v>
      </c>
      <c r="AZ206" s="139" t="s">
        <v>246</v>
      </c>
      <c r="BA206" s="633">
        <f t="shared" si="17"/>
        <v>0</v>
      </c>
      <c r="BC206" s="196">
        <v>200</v>
      </c>
      <c r="BD206" s="73" t="s">
        <v>245</v>
      </c>
      <c r="BE206" s="139" t="s">
        <v>246</v>
      </c>
      <c r="BF206" s="168">
        <v>595.07999999999811</v>
      </c>
      <c r="BG206" s="168">
        <v>14413.05</v>
      </c>
    </row>
    <row r="207" spans="1:59">
      <c r="A207" s="139" t="s">
        <v>487</v>
      </c>
      <c r="B207" s="233" t="s">
        <v>486</v>
      </c>
      <c r="C207" s="233" t="str">
        <f t="shared" si="15"/>
        <v>24410 OROVILLE SCHOOL DISTRICT</v>
      </c>
      <c r="D207" s="607"/>
      <c r="E207" s="607"/>
      <c r="F207" s="607"/>
      <c r="G207" s="607">
        <v>1042011.91</v>
      </c>
      <c r="H207" s="607">
        <v>163576.42000000001</v>
      </c>
      <c r="I207" s="607">
        <v>165910.51999999999</v>
      </c>
      <c r="J207" s="607">
        <v>264174.65000000002</v>
      </c>
      <c r="K207" s="607">
        <v>97780.15</v>
      </c>
      <c r="L207" s="607"/>
      <c r="M207" s="607">
        <v>223223.12</v>
      </c>
      <c r="N207" s="608">
        <v>3.6200000000000003E-2</v>
      </c>
      <c r="O207" s="608">
        <v>0.23760000000000001</v>
      </c>
      <c r="P207" s="607"/>
      <c r="Q207" s="607"/>
      <c r="R207" s="607"/>
      <c r="S207" s="607"/>
      <c r="T207" s="607"/>
      <c r="U207" s="607"/>
      <c r="V207" s="607"/>
      <c r="W207" s="607"/>
      <c r="X207" s="607"/>
      <c r="Y207" s="607">
        <v>441.65</v>
      </c>
      <c r="Z207" s="607"/>
      <c r="AA207" s="607"/>
      <c r="AB207" s="607">
        <v>71112.75</v>
      </c>
      <c r="AC207" s="607">
        <v>267522.03000000003</v>
      </c>
      <c r="AD207" s="607">
        <v>27.02</v>
      </c>
      <c r="AE207" s="607">
        <v>254426.9</v>
      </c>
      <c r="AF207" s="148"/>
      <c r="AG207" s="148"/>
      <c r="AH207" s="148"/>
      <c r="AI207" s="607">
        <v>7.19</v>
      </c>
      <c r="AJ207" s="607">
        <v>66552.03</v>
      </c>
      <c r="AK207" s="148"/>
      <c r="AL207" s="148"/>
      <c r="AM207" s="148"/>
      <c r="AN207" s="607"/>
      <c r="AO207" s="607"/>
      <c r="AP207" s="148"/>
      <c r="AQ207" s="168">
        <v>0</v>
      </c>
      <c r="AR207" s="238">
        <v>64694.839999999989</v>
      </c>
      <c r="AU207" s="633">
        <f t="shared" si="16"/>
        <v>0</v>
      </c>
      <c r="AX207" s="358">
        <v>201</v>
      </c>
      <c r="AY207" s="301" t="s">
        <v>486</v>
      </c>
      <c r="AZ207" s="139" t="s">
        <v>487</v>
      </c>
      <c r="BA207" s="633">
        <f t="shared" si="17"/>
        <v>0</v>
      </c>
      <c r="BC207" s="196">
        <v>201</v>
      </c>
      <c r="BD207" s="73" t="s">
        <v>486</v>
      </c>
      <c r="BE207" s="139" t="s">
        <v>487</v>
      </c>
      <c r="BF207" s="168">
        <v>0</v>
      </c>
      <c r="BG207" s="168">
        <v>55822.689999999995</v>
      </c>
    </row>
    <row r="208" spans="1:59">
      <c r="A208" s="139" t="s">
        <v>520</v>
      </c>
      <c r="B208" s="233" t="s">
        <v>519</v>
      </c>
      <c r="C208" s="233" t="str">
        <f t="shared" si="15"/>
        <v>27344 ORTING SCHOOL DISTRICT</v>
      </c>
      <c r="D208" s="607"/>
      <c r="E208" s="607">
        <v>52093.65</v>
      </c>
      <c r="F208" s="607"/>
      <c r="G208" s="607">
        <v>8991975.5899999999</v>
      </c>
      <c r="H208" s="607">
        <v>1042636.72</v>
      </c>
      <c r="I208" s="607"/>
      <c r="J208" s="607">
        <v>754754.48</v>
      </c>
      <c r="K208" s="607">
        <v>409701.53</v>
      </c>
      <c r="L208" s="607">
        <v>92848.17</v>
      </c>
      <c r="M208" s="607">
        <v>2808307.21</v>
      </c>
      <c r="N208" s="608">
        <v>6.8500000000000005E-2</v>
      </c>
      <c r="O208" s="608">
        <v>0.1835</v>
      </c>
      <c r="P208" s="607"/>
      <c r="Q208" s="607"/>
      <c r="R208" s="607"/>
      <c r="S208" s="607"/>
      <c r="T208" s="607"/>
      <c r="U208" s="607"/>
      <c r="V208" s="607"/>
      <c r="W208" s="607"/>
      <c r="X208" s="607"/>
      <c r="Y208" s="607">
        <v>2347.5500000000002</v>
      </c>
      <c r="Z208" s="607">
        <v>89509.24</v>
      </c>
      <c r="AA208" s="607">
        <v>10612.95</v>
      </c>
      <c r="AB208" s="607">
        <v>1371067.19</v>
      </c>
      <c r="AC208" s="607">
        <v>2817381.93</v>
      </c>
      <c r="AD208" s="607">
        <v>270.81</v>
      </c>
      <c r="AE208" s="607">
        <v>2654865.17</v>
      </c>
      <c r="AF208" s="148"/>
      <c r="AG208" s="148"/>
      <c r="AH208" s="148"/>
      <c r="AI208" s="607">
        <v>134.91</v>
      </c>
      <c r="AJ208" s="607">
        <v>1298466.0900000001</v>
      </c>
      <c r="AK208" s="148"/>
      <c r="AL208" s="148"/>
      <c r="AM208" s="148"/>
      <c r="AN208" s="607"/>
      <c r="AO208" s="607"/>
      <c r="AP208" s="148"/>
      <c r="AQ208" s="168">
        <v>0</v>
      </c>
      <c r="AR208" s="238">
        <v>308623.90999999992</v>
      </c>
      <c r="AU208" s="633">
        <f t="shared" ref="AU208:AU239" si="18">+B208-AY208</f>
        <v>0</v>
      </c>
      <c r="AX208" s="358">
        <v>202</v>
      </c>
      <c r="AY208" s="301" t="s">
        <v>519</v>
      </c>
      <c r="AZ208" s="139" t="s">
        <v>520</v>
      </c>
      <c r="BA208" s="633">
        <f t="shared" si="17"/>
        <v>0</v>
      </c>
      <c r="BC208" s="196">
        <v>202</v>
      </c>
      <c r="BD208" s="73" t="s">
        <v>519</v>
      </c>
      <c r="BE208" s="139" t="s">
        <v>520</v>
      </c>
      <c r="BF208" s="168">
        <v>0</v>
      </c>
      <c r="BG208" s="168">
        <v>274039.94999999995</v>
      </c>
    </row>
    <row r="209" spans="1:59">
      <c r="A209" s="139" t="s">
        <v>168</v>
      </c>
      <c r="B209" s="233" t="s">
        <v>167</v>
      </c>
      <c r="C209" s="233" t="str">
        <f t="shared" si="15"/>
        <v>01147 OTHELLO SCHOOL DISTRICT</v>
      </c>
      <c r="D209" s="607"/>
      <c r="E209" s="607">
        <v>236095.42</v>
      </c>
      <c r="F209" s="607">
        <v>115116.21</v>
      </c>
      <c r="G209" s="607">
        <v>6495619.1200000001</v>
      </c>
      <c r="H209" s="607">
        <v>1103557.75</v>
      </c>
      <c r="I209" s="607">
        <v>1430080.13</v>
      </c>
      <c r="J209" s="607">
        <v>2569126.0499999998</v>
      </c>
      <c r="K209" s="607">
        <v>3311007.89</v>
      </c>
      <c r="L209" s="607">
        <v>137061.31</v>
      </c>
      <c r="M209" s="607">
        <v>2848339.67</v>
      </c>
      <c r="N209" s="608">
        <v>2.3099999999999999E-2</v>
      </c>
      <c r="O209" s="608">
        <v>0.15140000000000001</v>
      </c>
      <c r="P209" s="607"/>
      <c r="Q209" s="607"/>
      <c r="R209" s="607"/>
      <c r="S209" s="607"/>
      <c r="T209" s="607"/>
      <c r="U209" s="607"/>
      <c r="V209" s="607"/>
      <c r="W209" s="607"/>
      <c r="X209" s="607"/>
      <c r="Y209" s="607"/>
      <c r="Z209" s="607">
        <v>12544.61</v>
      </c>
      <c r="AA209" s="607">
        <v>238347.58</v>
      </c>
      <c r="AB209" s="607">
        <v>173978.13</v>
      </c>
      <c r="AC209" s="607">
        <v>3227883.8</v>
      </c>
      <c r="AD209" s="607">
        <v>306.8</v>
      </c>
      <c r="AE209" s="607">
        <v>2889891.14</v>
      </c>
      <c r="AF209" s="148"/>
      <c r="AG209" s="148"/>
      <c r="AH209" s="148"/>
      <c r="AI209" s="607">
        <v>17.32</v>
      </c>
      <c r="AJ209" s="607">
        <v>159969</v>
      </c>
      <c r="AK209" s="148"/>
      <c r="AL209" s="148"/>
      <c r="AM209" s="148"/>
      <c r="AN209" s="607">
        <v>3000</v>
      </c>
      <c r="AO209" s="607"/>
      <c r="AP209" s="148"/>
      <c r="AQ209" s="168">
        <v>959229.00999999978</v>
      </c>
      <c r="AR209" s="238">
        <v>540058.51</v>
      </c>
      <c r="AU209" s="633">
        <f t="shared" si="18"/>
        <v>0</v>
      </c>
      <c r="AX209" s="358">
        <v>203</v>
      </c>
      <c r="AY209" s="301" t="s">
        <v>167</v>
      </c>
      <c r="AZ209" s="139" t="s">
        <v>168</v>
      </c>
      <c r="BA209" s="633">
        <f t="shared" si="17"/>
        <v>0</v>
      </c>
      <c r="BC209" s="196">
        <v>203</v>
      </c>
      <c r="BD209" s="73" t="s">
        <v>167</v>
      </c>
      <c r="BE209" s="139" t="s">
        <v>168</v>
      </c>
      <c r="BF209" s="168">
        <v>959229.00999999978</v>
      </c>
      <c r="BG209" s="168">
        <v>484284.79</v>
      </c>
    </row>
    <row r="210" spans="1:59">
      <c r="A210" s="139" t="s">
        <v>250</v>
      </c>
      <c r="B210" s="233" t="s">
        <v>249</v>
      </c>
      <c r="C210" s="233" t="str">
        <f t="shared" si="15"/>
        <v>09102 PALISADES SCHOOL DISTRICT</v>
      </c>
      <c r="D210" s="607"/>
      <c r="E210" s="607"/>
      <c r="F210" s="607"/>
      <c r="G210" s="607"/>
      <c r="H210" s="607">
        <v>8079.38</v>
      </c>
      <c r="I210" s="607">
        <v>10058.530000000001</v>
      </c>
      <c r="J210" s="607">
        <v>20117.060000000001</v>
      </c>
      <c r="K210" s="607">
        <v>9156.67</v>
      </c>
      <c r="L210" s="607">
        <v>773.73</v>
      </c>
      <c r="M210" s="607">
        <v>91664.41</v>
      </c>
      <c r="N210" s="608">
        <v>0.2049</v>
      </c>
      <c r="O210" s="608">
        <v>0.55010000000000003</v>
      </c>
      <c r="P210" s="607"/>
      <c r="Q210" s="607"/>
      <c r="R210" s="607"/>
      <c r="S210" s="607"/>
      <c r="T210" s="607"/>
      <c r="U210" s="607"/>
      <c r="V210" s="607"/>
      <c r="W210" s="607"/>
      <c r="X210" s="607"/>
      <c r="Y210" s="607">
        <v>22.94</v>
      </c>
      <c r="Z210" s="607"/>
      <c r="AA210" s="607"/>
      <c r="AB210" s="607"/>
      <c r="AC210" s="607"/>
      <c r="AD210" s="607"/>
      <c r="AE210" s="607"/>
      <c r="AF210" s="148"/>
      <c r="AG210" s="148"/>
      <c r="AH210" s="148"/>
      <c r="AI210" s="607"/>
      <c r="AJ210" s="607"/>
      <c r="AK210" s="148"/>
      <c r="AL210" s="148"/>
      <c r="AM210" s="148"/>
      <c r="AN210" s="607"/>
      <c r="AO210" s="607"/>
      <c r="AP210" s="148"/>
      <c r="AQ210" s="168">
        <v>0</v>
      </c>
      <c r="AR210" s="238">
        <v>4853.21</v>
      </c>
      <c r="AU210" s="633">
        <f t="shared" si="18"/>
        <v>0</v>
      </c>
      <c r="AX210" s="358">
        <v>204</v>
      </c>
      <c r="AY210" s="301" t="s">
        <v>249</v>
      </c>
      <c r="AZ210" s="139" t="s">
        <v>250</v>
      </c>
      <c r="BA210" s="633">
        <f t="shared" si="17"/>
        <v>0</v>
      </c>
      <c r="BC210" s="196">
        <v>204</v>
      </c>
      <c r="BD210" s="73" t="s">
        <v>249</v>
      </c>
      <c r="BE210" s="139" t="s">
        <v>250</v>
      </c>
      <c r="BF210" s="168">
        <v>0</v>
      </c>
      <c r="BG210" s="168">
        <v>4950.93</v>
      </c>
    </row>
    <row r="211" spans="1:59">
      <c r="A211" s="139" t="s">
        <v>696</v>
      </c>
      <c r="B211" s="233" t="s">
        <v>695</v>
      </c>
      <c r="C211" s="233" t="str">
        <f t="shared" si="15"/>
        <v>38301 PALOUSE SCHOOL DISTRICT</v>
      </c>
      <c r="D211" s="607"/>
      <c r="E211" s="607"/>
      <c r="F211" s="607"/>
      <c r="G211" s="607">
        <v>260681.83</v>
      </c>
      <c r="H211" s="607">
        <v>44715.78</v>
      </c>
      <c r="I211" s="607"/>
      <c r="J211" s="607">
        <v>51950.66</v>
      </c>
      <c r="K211" s="607"/>
      <c r="L211" s="607">
        <v>5195.07</v>
      </c>
      <c r="M211" s="607"/>
      <c r="N211" s="608">
        <v>4.7899999999999998E-2</v>
      </c>
      <c r="O211" s="608">
        <v>0.26619999999999999</v>
      </c>
      <c r="P211" s="607"/>
      <c r="Q211" s="607"/>
      <c r="R211" s="607"/>
      <c r="S211" s="607"/>
      <c r="T211" s="607"/>
      <c r="U211" s="607"/>
      <c r="V211" s="607"/>
      <c r="W211" s="607"/>
      <c r="X211" s="607"/>
      <c r="Y211" s="607">
        <v>154.05000000000001</v>
      </c>
      <c r="Z211" s="607"/>
      <c r="AA211" s="607"/>
      <c r="AB211" s="607"/>
      <c r="AC211" s="607">
        <v>118332.81</v>
      </c>
      <c r="AD211" s="607">
        <v>12.1</v>
      </c>
      <c r="AE211" s="607">
        <v>113910.26</v>
      </c>
      <c r="AF211" s="148"/>
      <c r="AG211" s="148"/>
      <c r="AH211" s="148"/>
      <c r="AI211" s="607"/>
      <c r="AJ211" s="607"/>
      <c r="AK211" s="148"/>
      <c r="AL211" s="148"/>
      <c r="AM211" s="148"/>
      <c r="AN211" s="607"/>
      <c r="AO211" s="607"/>
      <c r="AP211" s="148"/>
      <c r="AQ211" s="168">
        <v>34307.260000000017</v>
      </c>
      <c r="AR211" s="238">
        <v>28623.199999999997</v>
      </c>
      <c r="AU211" s="633">
        <f t="shared" si="18"/>
        <v>0</v>
      </c>
      <c r="AX211" s="358">
        <v>205</v>
      </c>
      <c r="AY211" s="301" t="s">
        <v>695</v>
      </c>
      <c r="AZ211" s="139" t="s">
        <v>696</v>
      </c>
      <c r="BA211" s="633">
        <f t="shared" si="17"/>
        <v>0</v>
      </c>
      <c r="BC211" s="196">
        <v>205</v>
      </c>
      <c r="BD211" s="73" t="s">
        <v>695</v>
      </c>
      <c r="BE211" s="139" t="s">
        <v>696</v>
      </c>
      <c r="BF211" s="168">
        <v>34307.260000000017</v>
      </c>
      <c r="BG211" s="168">
        <v>26470.929999999997</v>
      </c>
    </row>
    <row r="212" spans="1:59">
      <c r="A212" s="295" t="s">
        <v>2304</v>
      </c>
      <c r="B212" s="235" t="s">
        <v>2305</v>
      </c>
      <c r="C212" s="233" t="str">
        <f t="shared" si="15"/>
        <v>24915 PASCHAL SHERMAN SCHOOL DISTRICT</v>
      </c>
      <c r="D212" s="607"/>
      <c r="E212" s="607"/>
      <c r="F212" s="607">
        <v>5405.13</v>
      </c>
      <c r="G212" s="607">
        <v>568391.54</v>
      </c>
      <c r="H212" s="607">
        <v>98734.36</v>
      </c>
      <c r="I212" s="607">
        <v>47750.400000000001</v>
      </c>
      <c r="J212" s="607">
        <v>104122.38</v>
      </c>
      <c r="K212" s="607"/>
      <c r="L212" s="607">
        <v>5416.14</v>
      </c>
      <c r="M212" s="607">
        <v>299056.33</v>
      </c>
      <c r="N212" s="608">
        <v>3.8699999999999998E-2</v>
      </c>
      <c r="O212" s="608">
        <v>0.1535</v>
      </c>
      <c r="P212" s="607"/>
      <c r="Q212" s="607"/>
      <c r="R212" s="607"/>
      <c r="S212" s="607"/>
      <c r="T212" s="607"/>
      <c r="U212" s="607"/>
      <c r="V212" s="607"/>
      <c r="W212" s="607"/>
      <c r="X212" s="607"/>
      <c r="Y212" s="607"/>
      <c r="Z212" s="607"/>
      <c r="AA212" s="607"/>
      <c r="AB212" s="607">
        <v>22089</v>
      </c>
      <c r="AC212" s="607">
        <v>13448.25</v>
      </c>
      <c r="AD212" s="607">
        <v>1.38</v>
      </c>
      <c r="AE212" s="607">
        <v>12885.51</v>
      </c>
      <c r="AF212" s="148"/>
      <c r="AG212" s="148"/>
      <c r="AH212" s="148"/>
      <c r="AI212" s="607">
        <v>2.25</v>
      </c>
      <c r="AJ212" s="607">
        <v>20793.990000000002</v>
      </c>
      <c r="AK212" s="148"/>
      <c r="AL212" s="148"/>
      <c r="AM212" s="148"/>
      <c r="AN212" s="607"/>
      <c r="AO212" s="607"/>
      <c r="AP212" s="148"/>
      <c r="AQ212" s="168">
        <v>0</v>
      </c>
      <c r="AR212" s="238">
        <v>32573.049999999996</v>
      </c>
      <c r="AU212" s="633">
        <f t="shared" si="18"/>
        <v>0</v>
      </c>
      <c r="AX212" s="358">
        <v>206</v>
      </c>
      <c r="AY212" s="306" t="s">
        <v>2305</v>
      </c>
      <c r="AZ212" s="295" t="s">
        <v>2304</v>
      </c>
      <c r="BA212" s="633">
        <f t="shared" si="17"/>
        <v>0</v>
      </c>
      <c r="BC212" s="196">
        <v>206</v>
      </c>
      <c r="BD212" s="290" t="s">
        <v>2305</v>
      </c>
      <c r="BE212" s="295" t="s">
        <v>2304</v>
      </c>
      <c r="BF212" s="168">
        <v>0</v>
      </c>
      <c r="BG212" s="168">
        <v>27990.649999999994</v>
      </c>
    </row>
    <row r="213" spans="1:59">
      <c r="A213" s="139" t="s">
        <v>268</v>
      </c>
      <c r="B213" s="233" t="s">
        <v>267</v>
      </c>
      <c r="C213" s="233" t="str">
        <f t="shared" si="15"/>
        <v>11001 PASCO SCHOOL DISTRICT</v>
      </c>
      <c r="D213" s="607"/>
      <c r="E213" s="607"/>
      <c r="F213" s="607">
        <v>455544.86</v>
      </c>
      <c r="G213" s="607">
        <v>34314141.829999998</v>
      </c>
      <c r="H213" s="607">
        <v>6138218.2699999996</v>
      </c>
      <c r="I213" s="607">
        <v>5551094.04</v>
      </c>
      <c r="J213" s="607">
        <v>9487738.3599999994</v>
      </c>
      <c r="K213" s="607">
        <v>11715739.91</v>
      </c>
      <c r="L213" s="607">
        <v>575104.87</v>
      </c>
      <c r="M213" s="607">
        <v>9215061.9000000004</v>
      </c>
      <c r="N213" s="608">
        <v>2.9100000000000001E-2</v>
      </c>
      <c r="O213" s="608">
        <v>0.1198</v>
      </c>
      <c r="P213" s="607"/>
      <c r="Q213" s="607"/>
      <c r="R213" s="607"/>
      <c r="S213" s="607"/>
      <c r="T213" s="607"/>
      <c r="U213" s="607"/>
      <c r="V213" s="607"/>
      <c r="W213" s="607"/>
      <c r="X213" s="607"/>
      <c r="Y213" s="607">
        <v>10556.19</v>
      </c>
      <c r="Z213" s="607">
        <v>94297</v>
      </c>
      <c r="AA213" s="607">
        <v>848672.99</v>
      </c>
      <c r="AB213" s="607">
        <v>2803964.24</v>
      </c>
      <c r="AC213" s="607">
        <v>13243448.99</v>
      </c>
      <c r="AD213" s="607">
        <v>1266.1199999999999</v>
      </c>
      <c r="AE213" s="607">
        <v>11925908.699999999</v>
      </c>
      <c r="AF213" s="148"/>
      <c r="AG213" s="148"/>
      <c r="AH213" s="148"/>
      <c r="AI213" s="607">
        <v>281.12</v>
      </c>
      <c r="AJ213" s="607">
        <v>2597015.0299999998</v>
      </c>
      <c r="AK213" s="148"/>
      <c r="AL213" s="148"/>
      <c r="AM213" s="148"/>
      <c r="AN213" s="607"/>
      <c r="AO213" s="607"/>
      <c r="AP213" s="148"/>
      <c r="AQ213" s="168">
        <v>268834.48999999976</v>
      </c>
      <c r="AR213" s="238">
        <v>2212095.52</v>
      </c>
      <c r="AU213" s="633">
        <f t="shared" si="18"/>
        <v>0</v>
      </c>
      <c r="AX213" s="358">
        <v>207</v>
      </c>
      <c r="AY213" s="301" t="s">
        <v>267</v>
      </c>
      <c r="AZ213" s="139" t="s">
        <v>268</v>
      </c>
      <c r="BA213" s="633">
        <f t="shared" si="17"/>
        <v>0</v>
      </c>
      <c r="BC213" s="196">
        <v>207</v>
      </c>
      <c r="BD213" s="73" t="s">
        <v>267</v>
      </c>
      <c r="BE213" s="139" t="s">
        <v>268</v>
      </c>
      <c r="BF213" s="168">
        <v>268834.48999999976</v>
      </c>
      <c r="BG213" s="168">
        <v>1930769.45</v>
      </c>
    </row>
    <row r="214" spans="1:59">
      <c r="A214" s="139" t="s">
        <v>481</v>
      </c>
      <c r="B214" s="233" t="s">
        <v>480</v>
      </c>
      <c r="C214" s="233" t="str">
        <f t="shared" si="15"/>
        <v>24122 PATEROS SCHOOL DISTRICT</v>
      </c>
      <c r="D214" s="607"/>
      <c r="E214" s="607"/>
      <c r="F214" s="607"/>
      <c r="G214" s="607">
        <v>568466.30000000005</v>
      </c>
      <c r="H214" s="607">
        <v>90700.54</v>
      </c>
      <c r="I214" s="607">
        <v>73946.81</v>
      </c>
      <c r="J214" s="607">
        <v>118049.58</v>
      </c>
      <c r="K214" s="607">
        <v>77177.649999999994</v>
      </c>
      <c r="L214" s="607">
        <v>7074.14</v>
      </c>
      <c r="M214" s="607">
        <v>198284.89</v>
      </c>
      <c r="N214" s="608">
        <v>0.1162</v>
      </c>
      <c r="O214" s="608">
        <v>0.36130000000000001</v>
      </c>
      <c r="P214" s="607"/>
      <c r="Q214" s="607"/>
      <c r="R214" s="607"/>
      <c r="S214" s="607"/>
      <c r="T214" s="607"/>
      <c r="U214" s="607"/>
      <c r="V214" s="607"/>
      <c r="W214" s="607"/>
      <c r="X214" s="607"/>
      <c r="Y214" s="607">
        <v>188.46</v>
      </c>
      <c r="Z214" s="607"/>
      <c r="AA214" s="607"/>
      <c r="AB214" s="607">
        <v>31694.02</v>
      </c>
      <c r="AC214" s="607">
        <v>235044.64</v>
      </c>
      <c r="AD214" s="607">
        <v>23.69</v>
      </c>
      <c r="AE214" s="607">
        <v>223037.91</v>
      </c>
      <c r="AF214" s="148"/>
      <c r="AG214" s="148"/>
      <c r="AH214" s="148"/>
      <c r="AI214" s="607">
        <v>3.25</v>
      </c>
      <c r="AJ214" s="607">
        <v>30009.83</v>
      </c>
      <c r="AK214" s="148"/>
      <c r="AL214" s="148"/>
      <c r="AM214" s="148"/>
      <c r="AN214" s="607"/>
      <c r="AO214" s="607"/>
      <c r="AP214" s="148"/>
      <c r="AQ214" s="168">
        <v>9445.9900000000052</v>
      </c>
      <c r="AR214" s="238">
        <v>37325.909999999996</v>
      </c>
      <c r="AU214" s="633">
        <f t="shared" si="18"/>
        <v>0</v>
      </c>
      <c r="AX214" s="358">
        <v>208</v>
      </c>
      <c r="AY214" s="301" t="s">
        <v>480</v>
      </c>
      <c r="AZ214" s="139" t="s">
        <v>481</v>
      </c>
      <c r="BA214" s="633">
        <f t="shared" si="17"/>
        <v>0</v>
      </c>
      <c r="BC214" s="196">
        <v>208</v>
      </c>
      <c r="BD214" s="73" t="s">
        <v>480</v>
      </c>
      <c r="BE214" s="139" t="s">
        <v>481</v>
      </c>
      <c r="BF214" s="168">
        <v>9445.9900000000052</v>
      </c>
      <c r="BG214" s="168">
        <v>32525.140000000003</v>
      </c>
    </row>
    <row r="215" spans="1:59">
      <c r="A215" s="139" t="s">
        <v>180</v>
      </c>
      <c r="B215" s="233" t="s">
        <v>179</v>
      </c>
      <c r="C215" s="233" t="str">
        <f t="shared" si="15"/>
        <v>03050 PATERSON SCHOOL DISTRICT</v>
      </c>
      <c r="D215" s="607">
        <v>11526.61</v>
      </c>
      <c r="E215" s="607"/>
      <c r="F215" s="607"/>
      <c r="G215" s="607">
        <v>385425.59</v>
      </c>
      <c r="H215" s="607">
        <v>63808.15</v>
      </c>
      <c r="I215" s="607">
        <v>44102.79</v>
      </c>
      <c r="J215" s="607">
        <v>96053.45</v>
      </c>
      <c r="K215" s="607">
        <v>34664.54</v>
      </c>
      <c r="L215" s="607">
        <v>4421.32</v>
      </c>
      <c r="M215" s="607">
        <v>351184.05</v>
      </c>
      <c r="N215" s="608"/>
      <c r="O215" s="608">
        <v>0.2457</v>
      </c>
      <c r="P215" s="607"/>
      <c r="Q215" s="607"/>
      <c r="R215" s="607"/>
      <c r="S215" s="607"/>
      <c r="T215" s="607"/>
      <c r="U215" s="607"/>
      <c r="V215" s="607"/>
      <c r="W215" s="607"/>
      <c r="X215" s="607"/>
      <c r="Y215" s="607">
        <v>116.35</v>
      </c>
      <c r="Z215" s="607"/>
      <c r="AA215" s="607">
        <v>12392.47</v>
      </c>
      <c r="AB215" s="607">
        <v>133322.10999999999</v>
      </c>
      <c r="AC215" s="607"/>
      <c r="AD215" s="607"/>
      <c r="AE215" s="607"/>
      <c r="AF215" s="148"/>
      <c r="AG215" s="148"/>
      <c r="AH215" s="148"/>
      <c r="AI215" s="607">
        <v>12.97</v>
      </c>
      <c r="AJ215" s="607">
        <v>119945.26</v>
      </c>
      <c r="AK215" s="148"/>
      <c r="AL215" s="148"/>
      <c r="AM215" s="148"/>
      <c r="AN215" s="607"/>
      <c r="AO215" s="607"/>
      <c r="AP215" s="148"/>
      <c r="AQ215" s="168">
        <v>22083.949999999997</v>
      </c>
      <c r="AR215" s="238">
        <v>19786.04</v>
      </c>
      <c r="AU215" s="633">
        <f t="shared" si="18"/>
        <v>0</v>
      </c>
      <c r="AX215" s="358">
        <v>209</v>
      </c>
      <c r="AY215" s="301" t="s">
        <v>179</v>
      </c>
      <c r="AZ215" s="139" t="s">
        <v>180</v>
      </c>
      <c r="BA215" s="633">
        <f t="shared" si="17"/>
        <v>0</v>
      </c>
      <c r="BC215" s="196">
        <v>209</v>
      </c>
      <c r="BD215" s="73" t="s">
        <v>179</v>
      </c>
      <c r="BE215" s="139" t="s">
        <v>180</v>
      </c>
      <c r="BF215" s="168">
        <v>22083.949999999997</v>
      </c>
      <c r="BG215" s="168">
        <v>16486.759999999998</v>
      </c>
    </row>
    <row r="216" spans="1:59">
      <c r="A216" s="139" t="s">
        <v>435</v>
      </c>
      <c r="B216" s="233" t="s">
        <v>434</v>
      </c>
      <c r="C216" s="233" t="str">
        <f t="shared" si="15"/>
        <v>21301 PE ELL SCHOOL DISTRICT</v>
      </c>
      <c r="D216" s="607"/>
      <c r="E216" s="607"/>
      <c r="F216" s="607"/>
      <c r="G216" s="607">
        <v>804774.46</v>
      </c>
      <c r="H216" s="607">
        <v>110382.99</v>
      </c>
      <c r="I216" s="607">
        <v>93950.53</v>
      </c>
      <c r="J216" s="607">
        <v>121038.44</v>
      </c>
      <c r="K216" s="607"/>
      <c r="L216" s="607">
        <v>8572.1299999999992</v>
      </c>
      <c r="M216" s="607">
        <v>232516.58</v>
      </c>
      <c r="N216" s="608">
        <v>2.7799999999999998E-2</v>
      </c>
      <c r="O216" s="608">
        <v>0.1913</v>
      </c>
      <c r="P216" s="607"/>
      <c r="Q216" s="607"/>
      <c r="R216" s="607"/>
      <c r="S216" s="607"/>
      <c r="T216" s="607"/>
      <c r="U216" s="607"/>
      <c r="V216" s="607"/>
      <c r="W216" s="607"/>
      <c r="X216" s="607"/>
      <c r="Y216" s="607">
        <v>233.53</v>
      </c>
      <c r="Z216" s="607"/>
      <c r="AA216" s="607"/>
      <c r="AB216" s="607"/>
      <c r="AC216" s="607">
        <v>145732.92000000001</v>
      </c>
      <c r="AD216" s="607">
        <v>14.12</v>
      </c>
      <c r="AE216" s="607">
        <v>135538.04999999999</v>
      </c>
      <c r="AF216" s="148"/>
      <c r="AG216" s="148"/>
      <c r="AH216" s="148"/>
      <c r="AI216" s="607"/>
      <c r="AJ216" s="607"/>
      <c r="AK216" s="148"/>
      <c r="AL216" s="148"/>
      <c r="AM216" s="148"/>
      <c r="AN216" s="607"/>
      <c r="AO216" s="607"/>
      <c r="AP216" s="148"/>
      <c r="AQ216" s="168">
        <v>7.2759576141834259E-12</v>
      </c>
      <c r="AR216" s="238">
        <v>41807.81</v>
      </c>
      <c r="AU216" s="633">
        <f t="shared" si="18"/>
        <v>0</v>
      </c>
      <c r="AX216" s="358">
        <v>210</v>
      </c>
      <c r="AY216" s="301" t="s">
        <v>434</v>
      </c>
      <c r="AZ216" s="139" t="s">
        <v>435</v>
      </c>
      <c r="BA216" s="633">
        <f t="shared" si="17"/>
        <v>0</v>
      </c>
      <c r="BC216" s="196">
        <v>210</v>
      </c>
      <c r="BD216" s="73" t="s">
        <v>434</v>
      </c>
      <c r="BE216" s="139" t="s">
        <v>435</v>
      </c>
      <c r="BF216" s="168">
        <v>7.2759576141834259E-12</v>
      </c>
      <c r="BG216" s="168">
        <v>37833.009999999995</v>
      </c>
    </row>
    <row r="217" spans="1:59">
      <c r="A217" s="139" t="s">
        <v>524</v>
      </c>
      <c r="B217" s="233" t="s">
        <v>523</v>
      </c>
      <c r="C217" s="233" t="str">
        <f t="shared" si="15"/>
        <v>27401 PENINSULA SCHOOL DISTRICT</v>
      </c>
      <c r="D217" s="607"/>
      <c r="E217" s="607">
        <v>78086.509999999995</v>
      </c>
      <c r="F217" s="607"/>
      <c r="G217" s="607">
        <v>19733948.210000001</v>
      </c>
      <c r="H217" s="607">
        <v>2939425.29</v>
      </c>
      <c r="I217" s="607">
        <v>114321.19</v>
      </c>
      <c r="J217" s="607">
        <v>1495803.79</v>
      </c>
      <c r="K217" s="607">
        <v>480301.98</v>
      </c>
      <c r="L217" s="607">
        <v>303718.99</v>
      </c>
      <c r="M217" s="607">
        <v>7731369.0199999996</v>
      </c>
      <c r="N217" s="608">
        <v>2.8299999999999999E-2</v>
      </c>
      <c r="O217" s="608">
        <v>0.16389999999999999</v>
      </c>
      <c r="P217" s="607"/>
      <c r="Q217" s="607"/>
      <c r="R217" s="607"/>
      <c r="S217" s="607"/>
      <c r="T217" s="607"/>
      <c r="U217" s="607"/>
      <c r="V217" s="607"/>
      <c r="W217" s="607"/>
      <c r="X217" s="607"/>
      <c r="Y217" s="607">
        <v>6661.63</v>
      </c>
      <c r="Z217" s="607"/>
      <c r="AA217" s="607">
        <v>59529.49</v>
      </c>
      <c r="AB217" s="607">
        <v>1198644.18</v>
      </c>
      <c r="AC217" s="607">
        <v>5979284.3399999999</v>
      </c>
      <c r="AD217" s="607">
        <v>542.32000000000005</v>
      </c>
      <c r="AE217" s="607">
        <v>5525413.9199999999</v>
      </c>
      <c r="AF217" s="148"/>
      <c r="AG217" s="148"/>
      <c r="AH217" s="148"/>
      <c r="AI217" s="607">
        <v>110.9</v>
      </c>
      <c r="AJ217" s="607">
        <v>1110029.05</v>
      </c>
      <c r="AK217" s="148"/>
      <c r="AL217" s="148"/>
      <c r="AM217" s="148"/>
      <c r="AN217" s="607"/>
      <c r="AO217" s="607"/>
      <c r="AP217" s="148"/>
      <c r="AQ217" s="168">
        <v>0</v>
      </c>
      <c r="AR217" s="238">
        <v>992620.26000000013</v>
      </c>
      <c r="AU217" s="633">
        <f t="shared" si="18"/>
        <v>0</v>
      </c>
      <c r="AX217" s="358">
        <v>211</v>
      </c>
      <c r="AY217" s="301" t="s">
        <v>523</v>
      </c>
      <c r="AZ217" s="139" t="s">
        <v>524</v>
      </c>
      <c r="BA217" s="633">
        <f t="shared" si="17"/>
        <v>0</v>
      </c>
      <c r="BC217" s="196">
        <v>211</v>
      </c>
      <c r="BD217" s="73" t="s">
        <v>523</v>
      </c>
      <c r="BE217" s="139" t="s">
        <v>524</v>
      </c>
      <c r="BF217" s="168">
        <v>0</v>
      </c>
      <c r="BG217" s="168">
        <v>864350.07000000018</v>
      </c>
    </row>
    <row r="218" spans="1:59">
      <c r="A218" s="73" t="s">
        <v>1637</v>
      </c>
      <c r="B218" s="233" t="s">
        <v>1655</v>
      </c>
      <c r="C218" s="233" t="str">
        <f>CONCATENATE(B218," ",A218," CHARTER")</f>
        <v>04901 PINNACLES PREP CHARTER</v>
      </c>
      <c r="D218" s="607"/>
      <c r="E218" s="607"/>
      <c r="F218" s="607"/>
      <c r="G218" s="607">
        <v>627184.53</v>
      </c>
      <c r="H218" s="607">
        <v>118124.13</v>
      </c>
      <c r="I218" s="607"/>
      <c r="J218" s="607">
        <v>85884.4</v>
      </c>
      <c r="K218" s="607">
        <v>76305.58</v>
      </c>
      <c r="L218" s="607">
        <v>6631.99</v>
      </c>
      <c r="M218" s="607">
        <v>166231.45000000001</v>
      </c>
      <c r="N218" s="608">
        <v>3.8699999999999998E-2</v>
      </c>
      <c r="O218" s="608">
        <v>0.1535</v>
      </c>
      <c r="P218" s="607"/>
      <c r="Q218" s="607"/>
      <c r="R218" s="607"/>
      <c r="S218" s="607"/>
      <c r="T218" s="607"/>
      <c r="U218" s="607"/>
      <c r="V218" s="607"/>
      <c r="W218" s="607"/>
      <c r="X218" s="607"/>
      <c r="Y218" s="607">
        <v>181.9</v>
      </c>
      <c r="Z218" s="607"/>
      <c r="AA218" s="607"/>
      <c r="AB218" s="607">
        <v>35674.35</v>
      </c>
      <c r="AC218" s="607">
        <v>8715.7900000000009</v>
      </c>
      <c r="AD218" s="607"/>
      <c r="AE218" s="607"/>
      <c r="AF218" s="148"/>
      <c r="AG218" s="148"/>
      <c r="AH218" s="148"/>
      <c r="AI218" s="607">
        <v>3.6</v>
      </c>
      <c r="AJ218" s="607">
        <v>33129.65</v>
      </c>
      <c r="AK218" s="148"/>
      <c r="AL218" s="148"/>
      <c r="AM218" s="148"/>
      <c r="AN218" s="607"/>
      <c r="AO218" s="607"/>
      <c r="AP218" s="148"/>
      <c r="AQ218" s="168">
        <v>0</v>
      </c>
      <c r="AR218" s="238">
        <v>32074.65</v>
      </c>
      <c r="AU218" s="633">
        <f t="shared" si="18"/>
        <v>0</v>
      </c>
      <c r="AX218" s="358">
        <v>212</v>
      </c>
      <c r="AY218" s="310" t="s">
        <v>1655</v>
      </c>
      <c r="AZ218" s="73" t="s">
        <v>1637</v>
      </c>
      <c r="BA218" s="633">
        <f t="shared" si="17"/>
        <v>0</v>
      </c>
      <c r="BC218" s="196">
        <v>212</v>
      </c>
      <c r="BD218" s="199" t="s">
        <v>1655</v>
      </c>
      <c r="BE218" s="73" t="s">
        <v>1637</v>
      </c>
      <c r="BF218" s="168">
        <v>0</v>
      </c>
      <c r="BG218" s="168">
        <v>27008.820000000003</v>
      </c>
    </row>
    <row r="219" spans="1:59">
      <c r="A219" s="139" t="s">
        <v>467</v>
      </c>
      <c r="B219" s="233" t="s">
        <v>466</v>
      </c>
      <c r="C219" s="233" t="str">
        <f t="shared" ref="C219:C228" si="19">CONCATENATE(B219," ",A219," SCHOOL DISTRICT")</f>
        <v>23402 PIONEER SCHOOL DISTRICT</v>
      </c>
      <c r="D219" s="607"/>
      <c r="E219" s="607">
        <v>1076.82</v>
      </c>
      <c r="F219" s="607">
        <v>10426.459999999999</v>
      </c>
      <c r="G219" s="607">
        <v>2071059.92</v>
      </c>
      <c r="H219" s="607">
        <v>322030.84000000003</v>
      </c>
      <c r="I219" s="607">
        <v>245658.35</v>
      </c>
      <c r="J219" s="607">
        <v>326885.96999999997</v>
      </c>
      <c r="K219" s="607">
        <v>101193.41</v>
      </c>
      <c r="L219" s="607">
        <v>24867.96</v>
      </c>
      <c r="M219" s="607">
        <v>831428.92</v>
      </c>
      <c r="N219" s="608">
        <v>8.8999999999999996E-2</v>
      </c>
      <c r="O219" s="608">
        <v>0.2011</v>
      </c>
      <c r="P219" s="607"/>
      <c r="Q219" s="607"/>
      <c r="R219" s="607"/>
      <c r="S219" s="607"/>
      <c r="T219" s="607"/>
      <c r="U219" s="607"/>
      <c r="V219" s="607"/>
      <c r="W219" s="607"/>
      <c r="X219" s="607"/>
      <c r="Y219" s="607">
        <v>622.74</v>
      </c>
      <c r="Z219" s="607"/>
      <c r="AA219" s="607"/>
      <c r="AB219" s="607"/>
      <c r="AC219" s="607"/>
      <c r="AD219" s="607"/>
      <c r="AE219" s="607"/>
      <c r="AF219" s="148"/>
      <c r="AG219" s="148"/>
      <c r="AH219" s="148"/>
      <c r="AI219" s="607"/>
      <c r="AJ219" s="607"/>
      <c r="AK219" s="148"/>
      <c r="AL219" s="148"/>
      <c r="AM219" s="148"/>
      <c r="AN219" s="607"/>
      <c r="AO219" s="607"/>
      <c r="AP219" s="148"/>
      <c r="AQ219" s="168">
        <v>5625.9400000000169</v>
      </c>
      <c r="AR219" s="238">
        <v>100516.09</v>
      </c>
      <c r="AU219" s="633">
        <f t="shared" si="18"/>
        <v>0</v>
      </c>
      <c r="AX219" s="358">
        <v>213</v>
      </c>
      <c r="AY219" s="301" t="s">
        <v>466</v>
      </c>
      <c r="AZ219" s="139" t="s">
        <v>467</v>
      </c>
      <c r="BA219" s="633">
        <f t="shared" si="17"/>
        <v>0</v>
      </c>
      <c r="BC219" s="196">
        <v>213</v>
      </c>
      <c r="BD219" s="73" t="s">
        <v>466</v>
      </c>
      <c r="BE219" s="139" t="s">
        <v>467</v>
      </c>
      <c r="BF219" s="168">
        <v>5625.9400000000169</v>
      </c>
      <c r="BG219" s="168">
        <v>82180.91</v>
      </c>
    </row>
    <row r="220" spans="1:59">
      <c r="A220" s="139" t="s">
        <v>276</v>
      </c>
      <c r="B220" s="233" t="s">
        <v>275</v>
      </c>
      <c r="C220" s="233" t="str">
        <f t="shared" si="19"/>
        <v>12110 POMEROY SCHOOL DISTRICT</v>
      </c>
      <c r="D220" s="607"/>
      <c r="E220" s="607"/>
      <c r="F220" s="607"/>
      <c r="G220" s="607">
        <v>681232.08</v>
      </c>
      <c r="H220" s="607">
        <v>111199.19</v>
      </c>
      <c r="I220" s="607">
        <v>44544.92</v>
      </c>
      <c r="J220" s="607">
        <v>122028.81</v>
      </c>
      <c r="K220" s="607"/>
      <c r="L220" s="607">
        <v>10611.19</v>
      </c>
      <c r="M220" s="607">
        <v>612018.81000000006</v>
      </c>
      <c r="N220" s="608">
        <v>6.25E-2</v>
      </c>
      <c r="O220" s="608">
        <v>0.26500000000000001</v>
      </c>
      <c r="P220" s="607"/>
      <c r="Q220" s="607"/>
      <c r="R220" s="607"/>
      <c r="S220" s="607"/>
      <c r="T220" s="607"/>
      <c r="U220" s="607"/>
      <c r="V220" s="607"/>
      <c r="W220" s="607"/>
      <c r="X220" s="607"/>
      <c r="Y220" s="607">
        <v>175.35</v>
      </c>
      <c r="Z220" s="607"/>
      <c r="AA220" s="607"/>
      <c r="AB220" s="607">
        <v>134035.41</v>
      </c>
      <c r="AC220" s="607">
        <v>357955.3</v>
      </c>
      <c r="AD220" s="607">
        <v>36.090000000000003</v>
      </c>
      <c r="AE220" s="607">
        <v>339830.86</v>
      </c>
      <c r="AF220" s="148"/>
      <c r="AG220" s="148"/>
      <c r="AH220" s="148"/>
      <c r="AI220" s="607">
        <v>13.73</v>
      </c>
      <c r="AJ220" s="607">
        <v>126944.94</v>
      </c>
      <c r="AK220" s="148"/>
      <c r="AL220" s="148"/>
      <c r="AM220" s="148"/>
      <c r="AN220" s="607">
        <v>4000</v>
      </c>
      <c r="AO220" s="607"/>
      <c r="AP220" s="148"/>
      <c r="AQ220" s="168">
        <v>0</v>
      </c>
      <c r="AR220" s="238">
        <v>48946.229999999996</v>
      </c>
      <c r="AU220" s="633">
        <f t="shared" si="18"/>
        <v>0</v>
      </c>
      <c r="AX220" s="358">
        <v>214</v>
      </c>
      <c r="AY220" s="301" t="s">
        <v>275</v>
      </c>
      <c r="AZ220" s="139" t="s">
        <v>276</v>
      </c>
      <c r="BA220" s="633">
        <f t="shared" si="17"/>
        <v>0</v>
      </c>
      <c r="BC220" s="196">
        <v>214</v>
      </c>
      <c r="BD220" s="73" t="s">
        <v>275</v>
      </c>
      <c r="BE220" s="139" t="s">
        <v>276</v>
      </c>
      <c r="BF220" s="168">
        <v>0</v>
      </c>
      <c r="BG220" s="168">
        <v>43259.39</v>
      </c>
    </row>
    <row r="221" spans="1:59">
      <c r="A221" s="139" t="s">
        <v>204</v>
      </c>
      <c r="B221" s="233" t="s">
        <v>203</v>
      </c>
      <c r="C221" s="233" t="str">
        <f t="shared" si="19"/>
        <v>05121 PORT ANGELES SCHOOL DISTRICT</v>
      </c>
      <c r="D221" s="607"/>
      <c r="E221" s="607">
        <v>133427.5</v>
      </c>
      <c r="F221" s="607"/>
      <c r="G221" s="607">
        <v>8807856.3699999992</v>
      </c>
      <c r="H221" s="607">
        <v>1400753.95</v>
      </c>
      <c r="I221" s="607">
        <v>1145807.78</v>
      </c>
      <c r="J221" s="607">
        <v>1314621.57</v>
      </c>
      <c r="K221" s="607">
        <v>111477.87</v>
      </c>
      <c r="L221" s="607">
        <v>109037.46</v>
      </c>
      <c r="M221" s="607">
        <v>2148428.31</v>
      </c>
      <c r="N221" s="608">
        <v>8.0100000000000005E-2</v>
      </c>
      <c r="O221" s="608">
        <v>0.16220000000000001</v>
      </c>
      <c r="P221" s="607"/>
      <c r="Q221" s="607"/>
      <c r="R221" s="607"/>
      <c r="S221" s="607"/>
      <c r="T221" s="607"/>
      <c r="U221" s="607"/>
      <c r="V221" s="607"/>
      <c r="W221" s="607"/>
      <c r="X221" s="607"/>
      <c r="Y221" s="607">
        <v>2618.77</v>
      </c>
      <c r="Z221" s="607">
        <v>49662.33</v>
      </c>
      <c r="AA221" s="607">
        <v>198649.31</v>
      </c>
      <c r="AB221" s="607">
        <v>745239.87</v>
      </c>
      <c r="AC221" s="607">
        <v>2517455.4700000002</v>
      </c>
      <c r="AD221" s="607">
        <v>241.61</v>
      </c>
      <c r="AE221" s="607">
        <v>2320603.77</v>
      </c>
      <c r="AF221" s="148"/>
      <c r="AG221" s="148"/>
      <c r="AH221" s="148"/>
      <c r="AI221" s="607">
        <v>74.81</v>
      </c>
      <c r="AJ221" s="607">
        <v>705073.88</v>
      </c>
      <c r="AK221" s="148"/>
      <c r="AL221" s="148"/>
      <c r="AM221" s="148"/>
      <c r="AN221" s="607">
        <v>415.07</v>
      </c>
      <c r="AO221" s="607"/>
      <c r="AP221" s="148"/>
      <c r="AQ221" s="168">
        <v>0</v>
      </c>
      <c r="AR221" s="238">
        <v>371142.66</v>
      </c>
      <c r="AU221" s="633">
        <f t="shared" si="18"/>
        <v>0</v>
      </c>
      <c r="AX221" s="358">
        <v>215</v>
      </c>
      <c r="AY221" s="301" t="s">
        <v>203</v>
      </c>
      <c r="AZ221" s="139" t="s">
        <v>204</v>
      </c>
      <c r="BA221" s="633">
        <f t="shared" si="17"/>
        <v>0</v>
      </c>
      <c r="BC221" s="196">
        <v>215</v>
      </c>
      <c r="BD221" s="73" t="s">
        <v>203</v>
      </c>
      <c r="BE221" s="139" t="s">
        <v>204</v>
      </c>
      <c r="BF221" s="168">
        <v>0</v>
      </c>
      <c r="BG221" s="168">
        <v>306645.44999999995</v>
      </c>
    </row>
    <row r="222" spans="1:59">
      <c r="A222" s="139" t="s">
        <v>337</v>
      </c>
      <c r="B222" s="233" t="s">
        <v>336</v>
      </c>
      <c r="C222" s="233" t="str">
        <f t="shared" si="19"/>
        <v>16050 PORT TOWNSEND SCHOOL DISTRICT</v>
      </c>
      <c r="D222" s="607"/>
      <c r="E222" s="607">
        <v>46447.21</v>
      </c>
      <c r="F222" s="607">
        <v>16582.29</v>
      </c>
      <c r="G222" s="607">
        <v>2641867.48</v>
      </c>
      <c r="H222" s="607">
        <v>401479.73</v>
      </c>
      <c r="I222" s="607">
        <v>237173.8</v>
      </c>
      <c r="J222" s="607">
        <v>503720.13</v>
      </c>
      <c r="K222" s="607">
        <v>75242.490000000005</v>
      </c>
      <c r="L222" s="607">
        <v>42657.16</v>
      </c>
      <c r="M222" s="607">
        <v>911687.73</v>
      </c>
      <c r="N222" s="608">
        <v>3.8100000000000002E-2</v>
      </c>
      <c r="O222" s="608">
        <v>0.19639999999999999</v>
      </c>
      <c r="P222" s="607"/>
      <c r="Q222" s="607"/>
      <c r="R222" s="607"/>
      <c r="S222" s="607"/>
      <c r="T222" s="607"/>
      <c r="U222" s="607"/>
      <c r="V222" s="607"/>
      <c r="W222" s="607"/>
      <c r="X222" s="607"/>
      <c r="Y222" s="607">
        <v>1053.73</v>
      </c>
      <c r="Z222" s="607"/>
      <c r="AA222" s="607">
        <v>24649.599999999999</v>
      </c>
      <c r="AB222" s="607">
        <v>144494.57</v>
      </c>
      <c r="AC222" s="607">
        <v>627416.03</v>
      </c>
      <c r="AD222" s="607">
        <v>55.81</v>
      </c>
      <c r="AE222" s="607">
        <v>568698.69999999995</v>
      </c>
      <c r="AF222" s="148"/>
      <c r="AG222" s="148"/>
      <c r="AH222" s="148"/>
      <c r="AI222" s="607">
        <v>13.51</v>
      </c>
      <c r="AJ222" s="607">
        <v>135032.25</v>
      </c>
      <c r="AK222" s="148"/>
      <c r="AL222" s="148"/>
      <c r="AM222" s="148"/>
      <c r="AN222" s="607"/>
      <c r="AO222" s="607"/>
      <c r="AP222" s="148"/>
      <c r="AQ222" s="168">
        <v>0</v>
      </c>
      <c r="AR222" s="238">
        <v>136725.49</v>
      </c>
      <c r="AU222" s="633">
        <f t="shared" si="18"/>
        <v>0</v>
      </c>
      <c r="AX222" s="358">
        <v>216</v>
      </c>
      <c r="AY222" s="301" t="s">
        <v>336</v>
      </c>
      <c r="AZ222" s="139" t="s">
        <v>337</v>
      </c>
      <c r="BA222" s="633">
        <f t="shared" si="17"/>
        <v>0</v>
      </c>
      <c r="BC222" s="196">
        <v>216</v>
      </c>
      <c r="BD222" s="73" t="s">
        <v>336</v>
      </c>
      <c r="BE222" s="139" t="s">
        <v>337</v>
      </c>
      <c r="BF222" s="168">
        <v>0</v>
      </c>
      <c r="BG222" s="168">
        <v>119381.16999999998</v>
      </c>
    </row>
    <row r="223" spans="1:59">
      <c r="A223" s="139" t="s">
        <v>670</v>
      </c>
      <c r="B223" s="233" t="s">
        <v>669</v>
      </c>
      <c r="C223" s="233" t="str">
        <f t="shared" si="19"/>
        <v>36402 PRESCOTT SCHOOL DISTRICT</v>
      </c>
      <c r="D223" s="607"/>
      <c r="E223" s="607">
        <v>13334.59</v>
      </c>
      <c r="F223" s="607">
        <v>5870.27</v>
      </c>
      <c r="G223" s="607">
        <v>405841.49</v>
      </c>
      <c r="H223" s="607">
        <v>72588.100000000006</v>
      </c>
      <c r="I223" s="607">
        <v>87873.99</v>
      </c>
      <c r="J223" s="607">
        <v>159389.06</v>
      </c>
      <c r="K223" s="607">
        <v>156208.4</v>
      </c>
      <c r="L223" s="607"/>
      <c r="M223" s="607">
        <v>474309.56</v>
      </c>
      <c r="N223" s="608">
        <v>1.7899999999999999E-2</v>
      </c>
      <c r="O223" s="608">
        <v>0.21429999999999999</v>
      </c>
      <c r="P223" s="607"/>
      <c r="Q223" s="607"/>
      <c r="R223" s="607"/>
      <c r="S223" s="607"/>
      <c r="T223" s="607"/>
      <c r="U223" s="607"/>
      <c r="V223" s="607"/>
      <c r="W223" s="607"/>
      <c r="X223" s="607"/>
      <c r="Y223" s="607">
        <v>153.22999999999999</v>
      </c>
      <c r="Z223" s="607"/>
      <c r="AA223" s="607">
        <v>10130.51</v>
      </c>
      <c r="AB223" s="607"/>
      <c r="AC223" s="607">
        <v>225470.74</v>
      </c>
      <c r="AD223" s="607">
        <v>20.6</v>
      </c>
      <c r="AE223" s="607">
        <v>194157.75</v>
      </c>
      <c r="AF223" s="148"/>
      <c r="AG223" s="148"/>
      <c r="AH223" s="148"/>
      <c r="AI223" s="607"/>
      <c r="AJ223" s="607"/>
      <c r="AK223" s="148"/>
      <c r="AL223" s="148"/>
      <c r="AM223" s="148"/>
      <c r="AN223" s="607"/>
      <c r="AO223" s="607"/>
      <c r="AP223" s="148"/>
      <c r="AQ223" s="168">
        <v>85978.510000000009</v>
      </c>
      <c r="AR223" s="238">
        <v>39368.380000000005</v>
      </c>
      <c r="AU223" s="633">
        <f t="shared" si="18"/>
        <v>0</v>
      </c>
      <c r="AX223" s="358">
        <v>217</v>
      </c>
      <c r="AY223" s="301" t="s">
        <v>669</v>
      </c>
      <c r="AZ223" s="139" t="s">
        <v>670</v>
      </c>
      <c r="BA223" s="633">
        <f t="shared" si="17"/>
        <v>0</v>
      </c>
      <c r="BC223" s="196">
        <v>217</v>
      </c>
      <c r="BD223" s="73" t="s">
        <v>669</v>
      </c>
      <c r="BE223" s="139" t="s">
        <v>670</v>
      </c>
      <c r="BF223" s="168">
        <v>85978.510000000009</v>
      </c>
      <c r="BG223" s="168">
        <v>35967.409999999996</v>
      </c>
    </row>
    <row r="224" spans="1:59">
      <c r="A224" s="139" t="s">
        <v>186</v>
      </c>
      <c r="B224" s="233" t="s">
        <v>185</v>
      </c>
      <c r="C224" s="233" t="str">
        <f t="shared" si="19"/>
        <v>03116 PROSSER SCHOOL DISTRICT</v>
      </c>
      <c r="D224" s="607"/>
      <c r="E224" s="607">
        <v>110304.16</v>
      </c>
      <c r="F224" s="607">
        <v>76511.91</v>
      </c>
      <c r="G224" s="607">
        <v>4334714.2</v>
      </c>
      <c r="H224" s="607">
        <v>730395.9</v>
      </c>
      <c r="I224" s="607">
        <v>799819.13</v>
      </c>
      <c r="J224" s="607">
        <v>1254884.82</v>
      </c>
      <c r="K224" s="607">
        <v>1209116.3400000001</v>
      </c>
      <c r="L224" s="607">
        <v>75604.789999999994</v>
      </c>
      <c r="M224" s="607">
        <v>2051059.16</v>
      </c>
      <c r="N224" s="608">
        <v>4.1599999999999998E-2</v>
      </c>
      <c r="O224" s="608">
        <v>0.17749999999999999</v>
      </c>
      <c r="P224" s="607"/>
      <c r="Q224" s="607"/>
      <c r="R224" s="607"/>
      <c r="S224" s="607"/>
      <c r="T224" s="607"/>
      <c r="U224" s="607"/>
      <c r="V224" s="607"/>
      <c r="W224" s="607"/>
      <c r="X224" s="607"/>
      <c r="Y224" s="607">
        <v>1980.46</v>
      </c>
      <c r="Z224" s="607"/>
      <c r="AA224" s="607">
        <v>64249.78</v>
      </c>
      <c r="AB224" s="607">
        <v>173839.41</v>
      </c>
      <c r="AC224" s="607">
        <v>1872447.97</v>
      </c>
      <c r="AD224" s="607">
        <v>181.38</v>
      </c>
      <c r="AE224" s="607">
        <v>1708356.68</v>
      </c>
      <c r="AF224" s="148"/>
      <c r="AG224" s="148"/>
      <c r="AH224" s="148"/>
      <c r="AI224" s="607">
        <v>17.649999999999999</v>
      </c>
      <c r="AJ224" s="607">
        <v>162947.63</v>
      </c>
      <c r="AK224" s="148"/>
      <c r="AL224" s="148"/>
      <c r="AM224" s="148"/>
      <c r="AN224" s="607"/>
      <c r="AO224" s="607"/>
      <c r="AP224" s="148"/>
      <c r="AQ224" s="168">
        <v>0</v>
      </c>
      <c r="AR224" s="238">
        <v>284774.09000000003</v>
      </c>
      <c r="AU224" s="633">
        <f t="shared" si="18"/>
        <v>0</v>
      </c>
      <c r="AX224" s="358">
        <v>218</v>
      </c>
      <c r="AY224" s="301" t="s">
        <v>185</v>
      </c>
      <c r="AZ224" s="139" t="s">
        <v>186</v>
      </c>
      <c r="BA224" s="633">
        <f t="shared" si="17"/>
        <v>0</v>
      </c>
      <c r="BC224" s="196">
        <v>218</v>
      </c>
      <c r="BD224" s="73" t="s">
        <v>185</v>
      </c>
      <c r="BE224" s="139" t="s">
        <v>186</v>
      </c>
      <c r="BF224" s="168">
        <v>0</v>
      </c>
      <c r="BG224" s="168">
        <v>250852.7</v>
      </c>
    </row>
    <row r="225" spans="1:59">
      <c r="A225" s="139" t="s">
        <v>692</v>
      </c>
      <c r="B225" s="233" t="s">
        <v>691</v>
      </c>
      <c r="C225" s="233" t="str">
        <f t="shared" si="19"/>
        <v>38267 PULLMAN SCHOOL DISTRICT</v>
      </c>
      <c r="D225" s="607"/>
      <c r="E225" s="607"/>
      <c r="F225" s="607"/>
      <c r="G225" s="607">
        <v>5224091.49</v>
      </c>
      <c r="H225" s="607">
        <v>821840.43</v>
      </c>
      <c r="I225" s="607">
        <v>110754.4</v>
      </c>
      <c r="J225" s="607">
        <v>686411.93</v>
      </c>
      <c r="K225" s="607">
        <v>296392.65999999997</v>
      </c>
      <c r="L225" s="607">
        <v>85442.26</v>
      </c>
      <c r="M225" s="607">
        <v>1253605.8700000001</v>
      </c>
      <c r="N225" s="608">
        <v>4.3999999999999997E-2</v>
      </c>
      <c r="O225" s="608">
        <v>0.2198</v>
      </c>
      <c r="P225" s="607"/>
      <c r="Q225" s="607"/>
      <c r="R225" s="607"/>
      <c r="S225" s="607"/>
      <c r="T225" s="607"/>
      <c r="U225" s="607"/>
      <c r="V225" s="607"/>
      <c r="W225" s="607"/>
      <c r="X225" s="607"/>
      <c r="Y225" s="607">
        <v>1991.93</v>
      </c>
      <c r="Z225" s="607">
        <v>1277.1199999999999</v>
      </c>
      <c r="AA225" s="607"/>
      <c r="AB225" s="607">
        <v>428842.14</v>
      </c>
      <c r="AC225" s="607">
        <v>1420888.57</v>
      </c>
      <c r="AD225" s="607">
        <v>143.69</v>
      </c>
      <c r="AE225" s="607">
        <v>1353368.21</v>
      </c>
      <c r="AF225" s="148"/>
      <c r="AG225" s="148"/>
      <c r="AH225" s="148"/>
      <c r="AI225" s="607">
        <v>43.66</v>
      </c>
      <c r="AJ225" s="607">
        <v>403368.56</v>
      </c>
      <c r="AK225" s="148"/>
      <c r="AL225" s="148"/>
      <c r="AM225" s="148"/>
      <c r="AN225" s="607"/>
      <c r="AO225" s="607"/>
      <c r="AP225" s="148"/>
      <c r="AQ225" s="168">
        <v>95158.219999999943</v>
      </c>
      <c r="AR225" s="238">
        <v>295173.88</v>
      </c>
      <c r="AU225" s="633">
        <f t="shared" si="18"/>
        <v>0</v>
      </c>
      <c r="AX225" s="358">
        <v>219</v>
      </c>
      <c r="AY225" s="301" t="s">
        <v>691</v>
      </c>
      <c r="AZ225" s="139" t="s">
        <v>692</v>
      </c>
      <c r="BA225" s="633">
        <f t="shared" si="17"/>
        <v>0</v>
      </c>
      <c r="BC225" s="196">
        <v>219</v>
      </c>
      <c r="BD225" s="73" t="s">
        <v>691</v>
      </c>
      <c r="BE225" s="139" t="s">
        <v>692</v>
      </c>
      <c r="BF225" s="168">
        <v>95158.219999999943</v>
      </c>
      <c r="BG225" s="168">
        <v>250335</v>
      </c>
    </row>
    <row r="226" spans="1:59">
      <c r="A226" s="139" t="s">
        <v>508</v>
      </c>
      <c r="B226" s="233" t="s">
        <v>507</v>
      </c>
      <c r="C226" s="233" t="str">
        <f t="shared" si="19"/>
        <v>27003 PUYALLUP SCHOOL DISTRICT</v>
      </c>
      <c r="D226" s="607"/>
      <c r="E226" s="607">
        <v>307621.74</v>
      </c>
      <c r="F226" s="607">
        <v>59438.98</v>
      </c>
      <c r="G226" s="607">
        <v>51095855.649999999</v>
      </c>
      <c r="H226" s="607">
        <v>7353680.3700000001</v>
      </c>
      <c r="I226" s="607">
        <v>1333706.5900000001</v>
      </c>
      <c r="J226" s="607">
        <v>7861958.4000000004</v>
      </c>
      <c r="K226" s="607">
        <v>4530896.74</v>
      </c>
      <c r="L226" s="607">
        <v>805610.93</v>
      </c>
      <c r="M226" s="607">
        <v>16994196.440000001</v>
      </c>
      <c r="N226" s="608">
        <v>4.4600000000000001E-2</v>
      </c>
      <c r="O226" s="608">
        <v>0.152</v>
      </c>
      <c r="P226" s="607"/>
      <c r="Q226" s="607"/>
      <c r="R226" s="607"/>
      <c r="S226" s="607"/>
      <c r="T226" s="607"/>
      <c r="U226" s="607"/>
      <c r="V226" s="607"/>
      <c r="W226" s="607"/>
      <c r="X226" s="607"/>
      <c r="Y226" s="607">
        <v>18990.98</v>
      </c>
      <c r="Z226" s="607">
        <v>445947.7</v>
      </c>
      <c r="AA226" s="607">
        <v>1374246.98</v>
      </c>
      <c r="AB226" s="607">
        <v>4251360.2300000004</v>
      </c>
      <c r="AC226" s="607">
        <v>14011377.23</v>
      </c>
      <c r="AD226" s="607">
        <v>1246.82</v>
      </c>
      <c r="AE226" s="607">
        <v>12703245.609999999</v>
      </c>
      <c r="AF226" s="148"/>
      <c r="AG226" s="148"/>
      <c r="AH226" s="148"/>
      <c r="AI226" s="607">
        <v>400.09</v>
      </c>
      <c r="AJ226" s="607">
        <v>4004779.35</v>
      </c>
      <c r="AK226" s="148"/>
      <c r="AL226" s="148"/>
      <c r="AM226" s="148"/>
      <c r="AN226" s="607"/>
      <c r="AO226" s="607"/>
      <c r="AP226" s="148"/>
      <c r="AQ226" s="168">
        <v>0</v>
      </c>
      <c r="AR226" s="238">
        <v>2658277.6199999996</v>
      </c>
      <c r="AU226" s="633">
        <f t="shared" si="18"/>
        <v>0</v>
      </c>
      <c r="AX226" s="358">
        <v>220</v>
      </c>
      <c r="AY226" s="301" t="s">
        <v>507</v>
      </c>
      <c r="AZ226" s="139" t="s">
        <v>508</v>
      </c>
      <c r="BA226" s="633">
        <f t="shared" si="17"/>
        <v>0</v>
      </c>
      <c r="BC226" s="196">
        <v>220</v>
      </c>
      <c r="BD226" s="73" t="s">
        <v>507</v>
      </c>
      <c r="BE226" s="139" t="s">
        <v>508</v>
      </c>
      <c r="BF226" s="168">
        <v>0</v>
      </c>
      <c r="BG226" s="168">
        <v>2352067.9899999998</v>
      </c>
    </row>
    <row r="227" spans="1:59">
      <c r="A227" s="139" t="s">
        <v>329</v>
      </c>
      <c r="B227" s="233" t="s">
        <v>328</v>
      </c>
      <c r="C227" s="233" t="str">
        <f t="shared" si="19"/>
        <v>16020 QUEETS-CLEARWATER SCHOOL DISTRICT</v>
      </c>
      <c r="D227" s="607"/>
      <c r="E227" s="607"/>
      <c r="F227" s="607"/>
      <c r="G227" s="607">
        <v>57755.75</v>
      </c>
      <c r="H227" s="607">
        <v>7806.14</v>
      </c>
      <c r="I227" s="607">
        <v>12458.17</v>
      </c>
      <c r="J227" s="607">
        <v>21373.18</v>
      </c>
      <c r="K227" s="607"/>
      <c r="L227" s="607"/>
      <c r="M227" s="607">
        <v>82065.88</v>
      </c>
      <c r="N227" s="608">
        <v>6.1699999999999998E-2</v>
      </c>
      <c r="O227" s="608">
        <v>0.60680000000000001</v>
      </c>
      <c r="P227" s="607"/>
      <c r="Q227" s="607"/>
      <c r="R227" s="607"/>
      <c r="S227" s="607"/>
      <c r="T227" s="607"/>
      <c r="U227" s="607"/>
      <c r="V227" s="607"/>
      <c r="W227" s="607"/>
      <c r="X227" s="607"/>
      <c r="Y227" s="607">
        <v>28.68</v>
      </c>
      <c r="Z227" s="607"/>
      <c r="AA227" s="607"/>
      <c r="AB227" s="607"/>
      <c r="AC227" s="607"/>
      <c r="AD227" s="607"/>
      <c r="AE227" s="607"/>
      <c r="AF227" s="148"/>
      <c r="AG227" s="148"/>
      <c r="AH227" s="148"/>
      <c r="AI227" s="607"/>
      <c r="AJ227" s="607"/>
      <c r="AK227" s="148"/>
      <c r="AL227" s="148"/>
      <c r="AM227" s="148"/>
      <c r="AN227" s="607"/>
      <c r="AO227" s="607"/>
      <c r="AP227" s="148"/>
      <c r="AQ227" s="168">
        <v>14184.030000000002</v>
      </c>
      <c r="AR227" s="238">
        <v>6739.86</v>
      </c>
      <c r="AU227" s="633">
        <f t="shared" si="18"/>
        <v>0</v>
      </c>
      <c r="AX227" s="358">
        <v>221</v>
      </c>
      <c r="AY227" s="301" t="s">
        <v>328</v>
      </c>
      <c r="AZ227" s="139" t="s">
        <v>329</v>
      </c>
      <c r="BA227" s="633">
        <f t="shared" si="17"/>
        <v>0</v>
      </c>
      <c r="BC227" s="196">
        <v>221</v>
      </c>
      <c r="BD227" s="73" t="s">
        <v>328</v>
      </c>
      <c r="BE227" s="139" t="s">
        <v>329</v>
      </c>
      <c r="BF227" s="168">
        <v>14184.030000000002</v>
      </c>
      <c r="BG227" s="168">
        <v>6321.47</v>
      </c>
    </row>
    <row r="228" spans="1:59">
      <c r="A228" s="139" t="s">
        <v>333</v>
      </c>
      <c r="B228" s="233" t="s">
        <v>332</v>
      </c>
      <c r="C228" s="233" t="str">
        <f t="shared" si="19"/>
        <v>16048 QUILCENE SCHOOL DISTRICT</v>
      </c>
      <c r="D228" s="607"/>
      <c r="E228" s="607">
        <v>11910.63</v>
      </c>
      <c r="F228" s="607">
        <v>5763.06</v>
      </c>
      <c r="G228" s="607">
        <v>914221.29</v>
      </c>
      <c r="H228" s="607">
        <v>159458.01</v>
      </c>
      <c r="I228" s="607">
        <v>67863.990000000005</v>
      </c>
      <c r="J228" s="607">
        <v>232991.96</v>
      </c>
      <c r="K228" s="607"/>
      <c r="L228" s="607">
        <v>21962.84</v>
      </c>
      <c r="M228" s="607">
        <v>475016.15</v>
      </c>
      <c r="N228" s="608">
        <v>3.9899999999999998E-2</v>
      </c>
      <c r="O228" s="608">
        <v>0.20169999999999999</v>
      </c>
      <c r="P228" s="607"/>
      <c r="Q228" s="607"/>
      <c r="R228" s="607"/>
      <c r="S228" s="607"/>
      <c r="T228" s="607"/>
      <c r="U228" s="607"/>
      <c r="V228" s="607"/>
      <c r="W228" s="607"/>
      <c r="X228" s="607"/>
      <c r="Y228" s="607">
        <v>604.71</v>
      </c>
      <c r="Z228" s="607">
        <v>7838.26</v>
      </c>
      <c r="AA228" s="607"/>
      <c r="AB228" s="607">
        <v>57919.75</v>
      </c>
      <c r="AC228" s="607">
        <v>81854.98</v>
      </c>
      <c r="AD228" s="607">
        <v>7.97</v>
      </c>
      <c r="AE228" s="607">
        <v>78140.47</v>
      </c>
      <c r="AF228" s="148"/>
      <c r="AG228" s="148"/>
      <c r="AH228" s="148"/>
      <c r="AI228" s="607">
        <v>5.63</v>
      </c>
      <c r="AJ228" s="607">
        <v>54270.23</v>
      </c>
      <c r="AK228" s="148"/>
      <c r="AL228" s="148"/>
      <c r="AM228" s="148"/>
      <c r="AN228" s="607"/>
      <c r="AO228" s="607"/>
      <c r="AP228" s="148"/>
      <c r="AQ228" s="168">
        <v>0</v>
      </c>
      <c r="AR228" s="238">
        <v>37635.000000000007</v>
      </c>
      <c r="AU228" s="633">
        <f t="shared" si="18"/>
        <v>0</v>
      </c>
      <c r="AX228" s="358">
        <v>222</v>
      </c>
      <c r="AY228" s="301" t="s">
        <v>332</v>
      </c>
      <c r="AZ228" s="139" t="s">
        <v>333</v>
      </c>
      <c r="BA228" s="633">
        <f t="shared" si="17"/>
        <v>0</v>
      </c>
      <c r="BC228" s="196">
        <v>222</v>
      </c>
      <c r="BD228" s="73" t="s">
        <v>332</v>
      </c>
      <c r="BE228" s="139" t="s">
        <v>333</v>
      </c>
      <c r="BF228" s="168">
        <v>0</v>
      </c>
      <c r="BG228" s="168">
        <v>30350.65</v>
      </c>
    </row>
    <row r="229" spans="1:59">
      <c r="A229" t="s">
        <v>1482</v>
      </c>
      <c r="B229" s="233" t="s">
        <v>1481</v>
      </c>
      <c r="C229" s="233" t="str">
        <f>CONCATENATE(B229," ",A229," TRIBAL COMPACT")</f>
        <v>05903 QUILEUTE TRIBAL TRIBAL COMPACT</v>
      </c>
      <c r="D229" s="607"/>
      <c r="E229" s="607">
        <v>8113.12</v>
      </c>
      <c r="F229" s="607">
        <v>3964.49</v>
      </c>
      <c r="G229" s="607">
        <v>278872.96999999997</v>
      </c>
      <c r="H229" s="607">
        <v>52514.29</v>
      </c>
      <c r="I229" s="607">
        <v>35591.72</v>
      </c>
      <c r="J229" s="607">
        <v>72841.460000000006</v>
      </c>
      <c r="K229" s="607"/>
      <c r="L229" s="607"/>
      <c r="M229" s="607">
        <v>187908.15</v>
      </c>
      <c r="N229" s="608">
        <v>3.8699999999999998E-2</v>
      </c>
      <c r="O229" s="608">
        <v>0.1535</v>
      </c>
      <c r="P229" s="607"/>
      <c r="Q229" s="607"/>
      <c r="R229" s="607"/>
      <c r="S229" s="607"/>
      <c r="T229" s="607"/>
      <c r="U229" s="607"/>
      <c r="V229" s="607"/>
      <c r="W229" s="607"/>
      <c r="X229" s="607"/>
      <c r="Y229" s="607"/>
      <c r="Z229" s="607"/>
      <c r="AA229" s="607"/>
      <c r="AB229" s="607">
        <v>25509.45</v>
      </c>
      <c r="AC229" s="607">
        <v>28595.72</v>
      </c>
      <c r="AD229" s="607">
        <v>2.86</v>
      </c>
      <c r="AE229" s="607">
        <v>26987.88</v>
      </c>
      <c r="AF229" s="148"/>
      <c r="AG229" s="148"/>
      <c r="AH229" s="148"/>
      <c r="AI229" s="607">
        <v>2.58</v>
      </c>
      <c r="AJ229" s="607">
        <v>23772.63</v>
      </c>
      <c r="AK229" s="148"/>
      <c r="AL229" s="148"/>
      <c r="AM229" s="148"/>
      <c r="AN229" s="607"/>
      <c r="AO229" s="607"/>
      <c r="AP229" s="148"/>
      <c r="AQ229" s="168">
        <v>72762.559999999998</v>
      </c>
      <c r="AR229" s="238">
        <v>25633.079999999998</v>
      </c>
      <c r="AU229" s="633">
        <f t="shared" si="18"/>
        <v>0</v>
      </c>
      <c r="AX229" s="358">
        <v>223</v>
      </c>
      <c r="AY229" s="312" t="s">
        <v>1481</v>
      </c>
      <c r="AZ229" t="s">
        <v>1482</v>
      </c>
      <c r="BA229" s="633">
        <f t="shared" si="17"/>
        <v>0</v>
      </c>
      <c r="BC229" s="196">
        <v>223</v>
      </c>
      <c r="BD229" s="73" t="s">
        <v>1481</v>
      </c>
      <c r="BE229" t="s">
        <v>1482</v>
      </c>
      <c r="BF229" s="168">
        <v>72762.559999999998</v>
      </c>
      <c r="BG229" s="168">
        <v>23324.299999999996</v>
      </c>
    </row>
    <row r="230" spans="1:59">
      <c r="A230" s="139" t="s">
        <v>212</v>
      </c>
      <c r="B230" s="233" t="s">
        <v>211</v>
      </c>
      <c r="C230" s="233" t="str">
        <f>CONCATENATE(B230," ",A230," SCHOOL DISTRICT")</f>
        <v>05402 QUILLAYUTE VALLEY SCHOOL DISTRICT</v>
      </c>
      <c r="D230" s="607"/>
      <c r="E230" s="607">
        <v>56997.919999999998</v>
      </c>
      <c r="F230" s="607">
        <v>5115.29</v>
      </c>
      <c r="G230" s="607">
        <v>8867671.9700000007</v>
      </c>
      <c r="H230" s="607">
        <v>1734983.38</v>
      </c>
      <c r="I230" s="607">
        <v>1295782.1499999999</v>
      </c>
      <c r="J230" s="607">
        <v>1973572.5</v>
      </c>
      <c r="K230" s="607">
        <v>689475.37</v>
      </c>
      <c r="L230" s="607">
        <v>122360.39</v>
      </c>
      <c r="M230" s="607">
        <v>815532.44</v>
      </c>
      <c r="N230" s="608">
        <v>1.6299999999999999E-2</v>
      </c>
      <c r="O230" s="608">
        <v>9.7100000000000006E-2</v>
      </c>
      <c r="P230" s="607"/>
      <c r="Q230" s="607"/>
      <c r="R230" s="607"/>
      <c r="S230" s="607"/>
      <c r="T230" s="607"/>
      <c r="U230" s="607"/>
      <c r="V230" s="607"/>
      <c r="W230" s="607"/>
      <c r="X230" s="607"/>
      <c r="Y230" s="607">
        <v>565.38</v>
      </c>
      <c r="Z230" s="607">
        <v>11383.84</v>
      </c>
      <c r="AA230" s="607"/>
      <c r="AB230" s="607">
        <v>122469.59</v>
      </c>
      <c r="AC230" s="607">
        <v>415126.93</v>
      </c>
      <c r="AD230" s="607">
        <v>26.79</v>
      </c>
      <c r="AE230" s="607">
        <v>252491.74</v>
      </c>
      <c r="AF230" s="148"/>
      <c r="AG230" s="148"/>
      <c r="AH230" s="148"/>
      <c r="AI230" s="607">
        <v>12.13</v>
      </c>
      <c r="AJ230" s="607">
        <v>112022.91</v>
      </c>
      <c r="AK230" s="148"/>
      <c r="AL230" s="148"/>
      <c r="AM230" s="148"/>
      <c r="AN230" s="607">
        <v>315.77999999999997</v>
      </c>
      <c r="AO230" s="607"/>
      <c r="AP230" s="148"/>
      <c r="AQ230" s="168">
        <v>144592.44</v>
      </c>
      <c r="AR230" s="238">
        <v>201584.56000000006</v>
      </c>
      <c r="AU230" s="633">
        <f t="shared" si="18"/>
        <v>0</v>
      </c>
      <c r="AX230" s="358">
        <v>224</v>
      </c>
      <c r="AY230" s="301" t="s">
        <v>211</v>
      </c>
      <c r="AZ230" s="139" t="s">
        <v>212</v>
      </c>
      <c r="BA230" s="633">
        <f t="shared" si="17"/>
        <v>0</v>
      </c>
      <c r="BC230" s="196">
        <v>224</v>
      </c>
      <c r="BD230" s="73" t="s">
        <v>211</v>
      </c>
      <c r="BE230" s="139" t="s">
        <v>212</v>
      </c>
      <c r="BF230" s="168">
        <v>144592.44</v>
      </c>
      <c r="BG230" s="168">
        <v>128950.47000000002</v>
      </c>
    </row>
    <row r="231" spans="1:59">
      <c r="A231" s="139" t="s">
        <v>1592</v>
      </c>
      <c r="B231" s="233" t="s">
        <v>311</v>
      </c>
      <c r="C231" s="233" t="str">
        <f>CONCATENATE(B231," ",A231," SCHOOL DISTRICT")</f>
        <v>14097 QUINAULT SCHOOL DISTRICT</v>
      </c>
      <c r="D231" s="607"/>
      <c r="E231" s="607"/>
      <c r="F231" s="607">
        <v>822.2</v>
      </c>
      <c r="G231" s="607"/>
      <c r="H231" s="607">
        <v>117894.14</v>
      </c>
      <c r="I231" s="607">
        <v>68199.06</v>
      </c>
      <c r="J231" s="607">
        <v>144356.51</v>
      </c>
      <c r="K231" s="607">
        <v>71618.25</v>
      </c>
      <c r="L231" s="607">
        <v>6410.94</v>
      </c>
      <c r="M231" s="607">
        <v>266313.34000000003</v>
      </c>
      <c r="N231" s="608">
        <v>5.3600000000000002E-2</v>
      </c>
      <c r="O231" s="608">
        <v>0.22869999999999999</v>
      </c>
      <c r="P231" s="607"/>
      <c r="Q231" s="607"/>
      <c r="R231" s="607"/>
      <c r="S231" s="607"/>
      <c r="T231" s="607"/>
      <c r="U231" s="607"/>
      <c r="V231" s="607"/>
      <c r="W231" s="607"/>
      <c r="X231" s="607"/>
      <c r="Y231" s="607">
        <v>181.9</v>
      </c>
      <c r="Z231" s="607"/>
      <c r="AA231" s="607">
        <v>13777.34</v>
      </c>
      <c r="AB231" s="607"/>
      <c r="AC231" s="607">
        <v>98500.45</v>
      </c>
      <c r="AD231" s="607">
        <v>8.94</v>
      </c>
      <c r="AE231" s="607">
        <v>84129.93</v>
      </c>
      <c r="AF231" s="148"/>
      <c r="AG231" s="148"/>
      <c r="AH231" s="148"/>
      <c r="AI231" s="607"/>
      <c r="AJ231" s="607"/>
      <c r="AK231" s="148"/>
      <c r="AL231" s="148"/>
      <c r="AM231" s="148"/>
      <c r="AN231" s="607">
        <v>2392.38</v>
      </c>
      <c r="AO231" s="607"/>
      <c r="AP231" s="148"/>
      <c r="AQ231" s="168">
        <v>0</v>
      </c>
      <c r="AR231" s="238">
        <v>29037.679999999997</v>
      </c>
      <c r="AU231" s="633">
        <f t="shared" si="18"/>
        <v>0</v>
      </c>
      <c r="AX231" s="358">
        <v>225</v>
      </c>
      <c r="AY231" s="301" t="s">
        <v>311</v>
      </c>
      <c r="AZ231" s="139" t="s">
        <v>1592</v>
      </c>
      <c r="BA231" s="633">
        <f t="shared" si="17"/>
        <v>0</v>
      </c>
      <c r="BC231" s="196">
        <v>225</v>
      </c>
      <c r="BD231" s="73" t="s">
        <v>311</v>
      </c>
      <c r="BE231" s="139" t="s">
        <v>1592</v>
      </c>
      <c r="BF231" s="168">
        <v>0</v>
      </c>
      <c r="BG231" s="168">
        <v>29123.889999999996</v>
      </c>
    </row>
    <row r="232" spans="1:59">
      <c r="A232" s="139" t="s">
        <v>280</v>
      </c>
      <c r="B232" s="233" t="s">
        <v>279</v>
      </c>
      <c r="C232" s="233" t="str">
        <f>CONCATENATE(B232," ",A232," SCHOOL DISTRICT")</f>
        <v>13144 QUINCY SCHOOL DISTRICT</v>
      </c>
      <c r="D232" s="607"/>
      <c r="E232" s="607">
        <v>105754.48</v>
      </c>
      <c r="F232" s="607"/>
      <c r="G232" s="607">
        <v>5579861.2999999998</v>
      </c>
      <c r="H232" s="607">
        <v>918618.51</v>
      </c>
      <c r="I232" s="607">
        <v>1048298.05</v>
      </c>
      <c r="J232" s="607">
        <v>1848338.24</v>
      </c>
      <c r="K232" s="607">
        <v>2350974.75</v>
      </c>
      <c r="L232" s="607">
        <v>102243.32</v>
      </c>
      <c r="M232" s="607">
        <v>1987179.84</v>
      </c>
      <c r="N232" s="608">
        <v>5.5E-2</v>
      </c>
      <c r="O232" s="608">
        <v>0.1653</v>
      </c>
      <c r="P232" s="607"/>
      <c r="Q232" s="607"/>
      <c r="R232" s="607"/>
      <c r="S232" s="607"/>
      <c r="T232" s="607"/>
      <c r="U232" s="607"/>
      <c r="V232" s="607"/>
      <c r="W232" s="607"/>
      <c r="X232" s="607"/>
      <c r="Y232" s="607"/>
      <c r="Z232" s="607">
        <v>20619.73</v>
      </c>
      <c r="AA232" s="607">
        <v>137993.54999999999</v>
      </c>
      <c r="AB232" s="607">
        <v>614525.55000000005</v>
      </c>
      <c r="AC232" s="607">
        <v>3027436.4</v>
      </c>
      <c r="AD232" s="607">
        <v>304.77</v>
      </c>
      <c r="AE232" s="607">
        <v>2870757.35</v>
      </c>
      <c r="AF232" s="148"/>
      <c r="AG232" s="148"/>
      <c r="AH232" s="148"/>
      <c r="AI232" s="607">
        <v>62.96</v>
      </c>
      <c r="AJ232" s="607">
        <v>581494.27</v>
      </c>
      <c r="AK232" s="148"/>
      <c r="AL232" s="148"/>
      <c r="AM232" s="148"/>
      <c r="AN232" s="607">
        <v>5003.1899999999996</v>
      </c>
      <c r="AO232" s="607"/>
      <c r="AP232" s="148"/>
      <c r="AQ232" s="168">
        <v>7978.0100000000675</v>
      </c>
      <c r="AR232" s="238">
        <v>389740.17999999993</v>
      </c>
      <c r="AU232" s="633">
        <f t="shared" si="18"/>
        <v>0</v>
      </c>
      <c r="AX232" s="358">
        <v>226</v>
      </c>
      <c r="AY232" s="301" t="s">
        <v>279</v>
      </c>
      <c r="AZ232" s="139" t="s">
        <v>280</v>
      </c>
      <c r="BA232" s="633">
        <f t="shared" si="17"/>
        <v>0</v>
      </c>
      <c r="BC232" s="196">
        <v>226</v>
      </c>
      <c r="BD232" s="73" t="s">
        <v>279</v>
      </c>
      <c r="BE232" s="139" t="s">
        <v>280</v>
      </c>
      <c r="BF232" s="168">
        <v>7978.0100000000675</v>
      </c>
      <c r="BG232" s="168">
        <v>345614.27999999991</v>
      </c>
    </row>
    <row r="233" spans="1:59">
      <c r="A233" s="139" t="s">
        <v>649</v>
      </c>
      <c r="B233" s="233" t="s">
        <v>648</v>
      </c>
      <c r="C233" s="233" t="str">
        <f>CONCATENATE(B233," ",A233," SCHOOL DISTRICT")</f>
        <v>34307 RAINIER SCHOOL DISTRICT</v>
      </c>
      <c r="D233" s="607">
        <v>100855.72</v>
      </c>
      <c r="E233" s="607">
        <v>14383.45</v>
      </c>
      <c r="F233" s="607"/>
      <c r="G233" s="607">
        <v>1912234.95</v>
      </c>
      <c r="H233" s="607">
        <v>300434.25</v>
      </c>
      <c r="I233" s="607"/>
      <c r="J233" s="607">
        <v>308830.11</v>
      </c>
      <c r="K233" s="607">
        <v>24090.76</v>
      </c>
      <c r="L233" s="607">
        <v>31170.400000000001</v>
      </c>
      <c r="M233" s="607">
        <v>724191.82</v>
      </c>
      <c r="N233" s="608">
        <v>3.1800000000000002E-2</v>
      </c>
      <c r="O233" s="608">
        <v>0.2374</v>
      </c>
      <c r="P233" s="607"/>
      <c r="Q233" s="607"/>
      <c r="R233" s="607"/>
      <c r="S233" s="607"/>
      <c r="T233" s="607"/>
      <c r="U233" s="607"/>
      <c r="V233" s="607"/>
      <c r="W233" s="607"/>
      <c r="X233" s="607"/>
      <c r="Y233" s="607">
        <v>850.53</v>
      </c>
      <c r="Z233" s="607">
        <v>2077.9</v>
      </c>
      <c r="AA233" s="607">
        <v>4848.43</v>
      </c>
      <c r="AB233" s="607">
        <v>115921.47</v>
      </c>
      <c r="AC233" s="607">
        <v>908864.62</v>
      </c>
      <c r="AD233" s="607">
        <v>88</v>
      </c>
      <c r="AE233" s="607">
        <v>828952.89</v>
      </c>
      <c r="AF233" s="148"/>
      <c r="AG233" s="148"/>
      <c r="AH233" s="148"/>
      <c r="AI233" s="607">
        <v>11.66</v>
      </c>
      <c r="AJ233" s="607">
        <v>107761.18</v>
      </c>
      <c r="AK233" s="148"/>
      <c r="AL233" s="148"/>
      <c r="AM233" s="148"/>
      <c r="AN233" s="607"/>
      <c r="AO233" s="607"/>
      <c r="AP233" s="148"/>
      <c r="AQ233" s="168">
        <v>0</v>
      </c>
      <c r="AR233" s="238">
        <v>106809.67000000001</v>
      </c>
      <c r="AU233" s="633">
        <f t="shared" si="18"/>
        <v>0</v>
      </c>
      <c r="AX233" s="358">
        <v>227</v>
      </c>
      <c r="AY233" s="301" t="s">
        <v>648</v>
      </c>
      <c r="AZ233" s="139" t="s">
        <v>649</v>
      </c>
      <c r="BA233" s="633">
        <f t="shared" si="17"/>
        <v>0</v>
      </c>
      <c r="BC233" s="196">
        <v>227</v>
      </c>
      <c r="BD233" s="73" t="s">
        <v>648</v>
      </c>
      <c r="BE233" s="139" t="s">
        <v>649</v>
      </c>
      <c r="BF233" s="168">
        <v>0</v>
      </c>
      <c r="BG233" s="168">
        <v>90452.900000000009</v>
      </c>
    </row>
    <row r="234" spans="1:59">
      <c r="A234" s="113" t="s">
        <v>1478</v>
      </c>
      <c r="B234" s="233" t="s">
        <v>1388</v>
      </c>
      <c r="C234" s="233" t="str">
        <f>CONCATENATE(B234," ",A234," CHARTER")</f>
        <v>17908 RAINIER PREP  CHARTER</v>
      </c>
      <c r="D234" s="607"/>
      <c r="E234" s="607"/>
      <c r="F234" s="607"/>
      <c r="G234" s="607">
        <v>290884.96999999997</v>
      </c>
      <c r="H234" s="607">
        <v>53157.87</v>
      </c>
      <c r="I234" s="607">
        <v>134182.32</v>
      </c>
      <c r="J234" s="607">
        <v>222829.4</v>
      </c>
      <c r="K234" s="607">
        <v>285039.12</v>
      </c>
      <c r="L234" s="607"/>
      <c r="M234" s="607">
        <v>431909.45</v>
      </c>
      <c r="N234" s="608"/>
      <c r="O234" s="608">
        <v>0.18870000000000001</v>
      </c>
      <c r="P234" s="607"/>
      <c r="Q234" s="607"/>
      <c r="R234" s="607"/>
      <c r="S234" s="607"/>
      <c r="T234" s="607"/>
      <c r="U234" s="607"/>
      <c r="V234" s="607"/>
      <c r="W234" s="607"/>
      <c r="X234" s="607"/>
      <c r="Y234" s="607">
        <v>296.62</v>
      </c>
      <c r="Z234" s="607"/>
      <c r="AA234" s="607"/>
      <c r="AB234" s="607"/>
      <c r="AC234" s="607"/>
      <c r="AD234" s="607"/>
      <c r="AE234" s="607"/>
      <c r="AF234" s="148"/>
      <c r="AG234" s="148"/>
      <c r="AH234" s="148"/>
      <c r="AI234" s="607"/>
      <c r="AJ234" s="607"/>
      <c r="AK234" s="148"/>
      <c r="AL234" s="148"/>
      <c r="AM234" s="148"/>
      <c r="AN234" s="607"/>
      <c r="AO234" s="607"/>
      <c r="AP234" s="148"/>
      <c r="AQ234" s="168">
        <v>153800.99</v>
      </c>
      <c r="AR234" s="238">
        <v>43500.71</v>
      </c>
      <c r="AU234" s="633">
        <f t="shared" si="18"/>
        <v>0</v>
      </c>
      <c r="AX234" s="358">
        <v>228</v>
      </c>
      <c r="AY234" s="311" t="s">
        <v>1388</v>
      </c>
      <c r="AZ234" s="113" t="s">
        <v>1478</v>
      </c>
      <c r="BA234" s="633">
        <f t="shared" si="17"/>
        <v>0</v>
      </c>
      <c r="BC234" s="196">
        <v>228</v>
      </c>
      <c r="BD234" s="73" t="s">
        <v>1388</v>
      </c>
      <c r="BE234" s="113" t="s">
        <v>1478</v>
      </c>
      <c r="BF234" s="168">
        <v>153800.99</v>
      </c>
      <c r="BG234" s="168">
        <v>41089.120000000003</v>
      </c>
    </row>
    <row r="235" spans="1:59">
      <c r="A235" s="73" t="s">
        <v>1588</v>
      </c>
      <c r="B235" s="233" t="s">
        <v>1477</v>
      </c>
      <c r="C235" s="233" t="str">
        <f>CONCATENATE(B235," ",A235," CHARTER")</f>
        <v>17910 RAINIER VALLEY LEADERSHIP ACADEMY CHARTER</v>
      </c>
      <c r="D235" s="607"/>
      <c r="E235" s="607"/>
      <c r="F235" s="607"/>
      <c r="G235" s="607">
        <v>260761.49</v>
      </c>
      <c r="H235" s="607">
        <v>34053.97</v>
      </c>
      <c r="I235" s="607">
        <v>45917.9</v>
      </c>
      <c r="J235" s="607">
        <v>71045.2</v>
      </c>
      <c r="K235" s="607"/>
      <c r="L235" s="607">
        <v>4209.1499999999996</v>
      </c>
      <c r="M235" s="607"/>
      <c r="N235" s="608">
        <v>0.17130000000000001</v>
      </c>
      <c r="O235" s="608">
        <v>0.66310000000000002</v>
      </c>
      <c r="P235" s="607"/>
      <c r="Q235" s="607"/>
      <c r="R235" s="607"/>
      <c r="S235" s="607"/>
      <c r="T235" s="607"/>
      <c r="U235" s="607"/>
      <c r="V235" s="607"/>
      <c r="W235" s="607"/>
      <c r="X235" s="607"/>
      <c r="Y235" s="607"/>
      <c r="Z235" s="607"/>
      <c r="AA235" s="607"/>
      <c r="AB235" s="607"/>
      <c r="AC235" s="607">
        <v>53175.39</v>
      </c>
      <c r="AD235" s="607">
        <v>4.84</v>
      </c>
      <c r="AE235" s="607">
        <v>51022.6</v>
      </c>
      <c r="AF235" s="148"/>
      <c r="AG235" s="148"/>
      <c r="AH235" s="148"/>
      <c r="AI235" s="607"/>
      <c r="AJ235" s="607"/>
      <c r="AK235" s="148"/>
      <c r="AL235" s="148"/>
      <c r="AM235" s="148"/>
      <c r="AN235" s="607"/>
      <c r="AO235" s="607"/>
      <c r="AP235" s="148"/>
      <c r="AQ235" s="168">
        <v>68630.61</v>
      </c>
      <c r="AR235" s="238">
        <v>28120.560000000001</v>
      </c>
      <c r="AU235" s="633">
        <f t="shared" si="18"/>
        <v>0</v>
      </c>
      <c r="AX235" s="358">
        <v>229</v>
      </c>
      <c r="AY235" s="311" t="s">
        <v>1477</v>
      </c>
      <c r="AZ235" s="73" t="s">
        <v>1588</v>
      </c>
      <c r="BA235" s="633">
        <f t="shared" si="17"/>
        <v>0</v>
      </c>
      <c r="BC235" s="196">
        <v>229</v>
      </c>
      <c r="BD235" s="73" t="s">
        <v>1477</v>
      </c>
      <c r="BE235" s="73" t="s">
        <v>1588</v>
      </c>
      <c r="BF235" s="168">
        <v>68630.61</v>
      </c>
      <c r="BG235" s="168">
        <v>25900.420000000002</v>
      </c>
    </row>
    <row r="236" spans="1:59">
      <c r="A236" s="139" t="s">
        <v>491</v>
      </c>
      <c r="B236" s="233" t="s">
        <v>490</v>
      </c>
      <c r="C236" s="233" t="str">
        <f t="shared" ref="C236:C269" si="20">CONCATENATE(B236," ",A236," SCHOOL DISTRICT")</f>
        <v>25116 RAYMOND SCHOOL DISTRICT</v>
      </c>
      <c r="D236" s="607"/>
      <c r="E236" s="607"/>
      <c r="F236" s="607"/>
      <c r="G236" s="607">
        <v>937076.65</v>
      </c>
      <c r="H236" s="607">
        <v>148508.26999999999</v>
      </c>
      <c r="I236" s="607">
        <v>156183.57</v>
      </c>
      <c r="J236" s="607">
        <v>229798.78</v>
      </c>
      <c r="K236" s="607">
        <v>94836.93</v>
      </c>
      <c r="L236" s="607">
        <v>14037.73</v>
      </c>
      <c r="M236" s="607">
        <v>471041.5</v>
      </c>
      <c r="N236" s="608">
        <v>1.8800000000000001E-2</v>
      </c>
      <c r="O236" s="608">
        <v>0.191</v>
      </c>
      <c r="P236" s="607"/>
      <c r="Q236" s="607"/>
      <c r="R236" s="607"/>
      <c r="S236" s="607"/>
      <c r="T236" s="607"/>
      <c r="U236" s="607"/>
      <c r="V236" s="607"/>
      <c r="W236" s="607"/>
      <c r="X236" s="607"/>
      <c r="Y236" s="607"/>
      <c r="Z236" s="607"/>
      <c r="AA236" s="607"/>
      <c r="AB236" s="607">
        <v>28474.91</v>
      </c>
      <c r="AC236" s="607">
        <v>370636.02</v>
      </c>
      <c r="AD236" s="607">
        <v>35.32</v>
      </c>
      <c r="AE236" s="607">
        <v>332902.46999999997</v>
      </c>
      <c r="AF236" s="148"/>
      <c r="AG236" s="148"/>
      <c r="AH236" s="148"/>
      <c r="AI236" s="607">
        <v>2.82</v>
      </c>
      <c r="AJ236" s="607">
        <v>26232.51</v>
      </c>
      <c r="AK236" s="148"/>
      <c r="AL236" s="148"/>
      <c r="AM236" s="148"/>
      <c r="AN236" s="607"/>
      <c r="AO236" s="607"/>
      <c r="AP236" s="148"/>
      <c r="AQ236" s="168">
        <v>76399.049999999988</v>
      </c>
      <c r="AR236" s="238">
        <v>54521.130000000005</v>
      </c>
      <c r="AU236" s="633">
        <f t="shared" si="18"/>
        <v>0</v>
      </c>
      <c r="AX236" s="358">
        <v>230</v>
      </c>
      <c r="AY236" s="301" t="s">
        <v>490</v>
      </c>
      <c r="AZ236" s="139" t="s">
        <v>491</v>
      </c>
      <c r="BA236" s="633">
        <f t="shared" si="17"/>
        <v>0</v>
      </c>
      <c r="BC236" s="196">
        <v>230</v>
      </c>
      <c r="BD236" s="73" t="s">
        <v>490</v>
      </c>
      <c r="BE236" s="139" t="s">
        <v>491</v>
      </c>
      <c r="BF236" s="168">
        <v>76399.049999999988</v>
      </c>
      <c r="BG236" s="168">
        <v>48065.25</v>
      </c>
    </row>
    <row r="237" spans="1:59">
      <c r="A237" s="139" t="s">
        <v>445</v>
      </c>
      <c r="B237" s="233" t="s">
        <v>444</v>
      </c>
      <c r="C237" s="233" t="str">
        <f t="shared" si="20"/>
        <v>22009 REARDAN SCHOOL DISTRICT</v>
      </c>
      <c r="D237" s="607"/>
      <c r="E237" s="607"/>
      <c r="F237" s="607"/>
      <c r="G237" s="607">
        <v>950320.93</v>
      </c>
      <c r="H237" s="607">
        <v>154146.41</v>
      </c>
      <c r="I237" s="607">
        <v>111196.52</v>
      </c>
      <c r="J237" s="607">
        <v>232119.98</v>
      </c>
      <c r="K237" s="607">
        <v>8066.59</v>
      </c>
      <c r="L237" s="607">
        <v>23433.08</v>
      </c>
      <c r="M237" s="607">
        <v>1113400.1100000001</v>
      </c>
      <c r="N237" s="608">
        <v>0.04</v>
      </c>
      <c r="O237" s="608">
        <v>0.27839999999999998</v>
      </c>
      <c r="P237" s="607"/>
      <c r="Q237" s="607"/>
      <c r="R237" s="607"/>
      <c r="S237" s="607"/>
      <c r="T237" s="607"/>
      <c r="U237" s="607"/>
      <c r="V237" s="607"/>
      <c r="W237" s="607"/>
      <c r="X237" s="607"/>
      <c r="Y237" s="607">
        <v>550.63</v>
      </c>
      <c r="Z237" s="607"/>
      <c r="AA237" s="607"/>
      <c r="AB237" s="607">
        <v>79251.289999999994</v>
      </c>
      <c r="AC237" s="607">
        <v>286826.02</v>
      </c>
      <c r="AD237" s="607">
        <v>29.09</v>
      </c>
      <c r="AE237" s="607">
        <v>274033.01</v>
      </c>
      <c r="AF237" s="148"/>
      <c r="AG237" s="148"/>
      <c r="AH237" s="148"/>
      <c r="AI237" s="607">
        <v>8.0500000000000007</v>
      </c>
      <c r="AJ237" s="607">
        <v>74217.84</v>
      </c>
      <c r="AK237" s="148"/>
      <c r="AL237" s="148"/>
      <c r="AM237" s="148"/>
      <c r="AN237" s="607">
        <v>176.32</v>
      </c>
      <c r="AO237" s="607"/>
      <c r="AP237" s="148"/>
      <c r="AQ237" s="168">
        <v>0</v>
      </c>
      <c r="AR237" s="238">
        <v>70324.889999999985</v>
      </c>
      <c r="AU237" s="633">
        <f t="shared" si="18"/>
        <v>0</v>
      </c>
      <c r="AX237" s="358">
        <v>231</v>
      </c>
      <c r="AY237" s="301" t="s">
        <v>444</v>
      </c>
      <c r="AZ237" s="139" t="s">
        <v>445</v>
      </c>
      <c r="BA237" s="633">
        <f t="shared" si="17"/>
        <v>0</v>
      </c>
      <c r="BC237" s="196">
        <v>231</v>
      </c>
      <c r="BD237" s="73" t="s">
        <v>444</v>
      </c>
      <c r="BE237" s="139" t="s">
        <v>445</v>
      </c>
      <c r="BF237" s="168">
        <v>0</v>
      </c>
      <c r="BG237" s="168">
        <v>62333.439999999988</v>
      </c>
    </row>
    <row r="238" spans="1:59">
      <c r="A238" s="139" t="s">
        <v>351</v>
      </c>
      <c r="B238" s="233" t="s">
        <v>350</v>
      </c>
      <c r="C238" s="233" t="str">
        <f t="shared" si="20"/>
        <v>17403 RENTON SCHOOL DISTRICT</v>
      </c>
      <c r="D238" s="607"/>
      <c r="E238" s="607">
        <v>121625.84</v>
      </c>
      <c r="F238" s="607">
        <v>262088.4</v>
      </c>
      <c r="G238" s="607">
        <v>39668023.020000003</v>
      </c>
      <c r="H238" s="607">
        <v>5379782.3799999999</v>
      </c>
      <c r="I238" s="607">
        <v>2652269.2799999998</v>
      </c>
      <c r="J238" s="607">
        <v>6270727.8300000001</v>
      </c>
      <c r="K238" s="607">
        <v>7596934.2699999996</v>
      </c>
      <c r="L238" s="607">
        <v>511857.1</v>
      </c>
      <c r="M238" s="607">
        <v>9821929.0299999993</v>
      </c>
      <c r="N238" s="608">
        <v>2.9100000000000001E-2</v>
      </c>
      <c r="O238" s="608">
        <v>0.1244</v>
      </c>
      <c r="P238" s="607"/>
      <c r="Q238" s="607"/>
      <c r="R238" s="607"/>
      <c r="S238" s="607"/>
      <c r="T238" s="607"/>
      <c r="U238" s="607"/>
      <c r="V238" s="607"/>
      <c r="W238" s="607"/>
      <c r="X238" s="607"/>
      <c r="Y238" s="607">
        <v>7021.34</v>
      </c>
      <c r="Z238" s="607">
        <v>137628.42000000001</v>
      </c>
      <c r="AA238" s="607">
        <v>681588.39</v>
      </c>
      <c r="AB238" s="607">
        <v>3324806.38</v>
      </c>
      <c r="AC238" s="607">
        <v>16714856.84</v>
      </c>
      <c r="AD238" s="607">
        <v>1419.71</v>
      </c>
      <c r="AE238" s="607">
        <v>15010817.15</v>
      </c>
      <c r="AF238" s="148"/>
      <c r="AG238" s="148"/>
      <c r="AH238" s="148"/>
      <c r="AI238" s="607">
        <v>296.56</v>
      </c>
      <c r="AJ238" s="607">
        <v>3083074.86</v>
      </c>
      <c r="AK238" s="148"/>
      <c r="AL238" s="148"/>
      <c r="AM238" s="148"/>
      <c r="AN238" s="607"/>
      <c r="AO238" s="607"/>
      <c r="AP238" s="148"/>
      <c r="AQ238" s="168">
        <v>0</v>
      </c>
      <c r="AR238" s="238">
        <v>1881829.3699999999</v>
      </c>
      <c r="AU238" s="633">
        <f t="shared" si="18"/>
        <v>0</v>
      </c>
      <c r="AX238" s="358">
        <v>232</v>
      </c>
      <c r="AY238" s="301" t="s">
        <v>350</v>
      </c>
      <c r="AZ238" s="139" t="s">
        <v>351</v>
      </c>
      <c r="BA238" s="633">
        <f t="shared" si="17"/>
        <v>0</v>
      </c>
      <c r="BC238" s="196">
        <v>232</v>
      </c>
      <c r="BD238" s="73" t="s">
        <v>350</v>
      </c>
      <c r="BE238" s="139" t="s">
        <v>351</v>
      </c>
      <c r="BF238" s="168">
        <v>0</v>
      </c>
      <c r="BG238" s="168">
        <v>1677602.8599999999</v>
      </c>
    </row>
    <row r="239" spans="1:59">
      <c r="A239" s="139" t="s">
        <v>266</v>
      </c>
      <c r="B239" s="233" t="s">
        <v>265</v>
      </c>
      <c r="C239" s="233" t="str">
        <f t="shared" si="20"/>
        <v>10309 REPUBLIC SCHOOL DISTRICT</v>
      </c>
      <c r="D239" s="607"/>
      <c r="E239" s="607"/>
      <c r="F239" s="607"/>
      <c r="G239" s="607">
        <v>1024988.03</v>
      </c>
      <c r="H239" s="607">
        <v>181215.35</v>
      </c>
      <c r="I239" s="607">
        <v>106443.59</v>
      </c>
      <c r="J239" s="607">
        <v>206807.85</v>
      </c>
      <c r="K239" s="607"/>
      <c r="L239" s="607">
        <v>16911.599999999999</v>
      </c>
      <c r="M239" s="607">
        <v>413412</v>
      </c>
      <c r="N239" s="608">
        <v>5.1799999999999999E-2</v>
      </c>
      <c r="O239" s="608">
        <v>0.19589999999999999</v>
      </c>
      <c r="P239" s="607"/>
      <c r="Q239" s="607"/>
      <c r="R239" s="607"/>
      <c r="S239" s="607"/>
      <c r="T239" s="607"/>
      <c r="U239" s="607"/>
      <c r="V239" s="607"/>
      <c r="W239" s="607"/>
      <c r="X239" s="607"/>
      <c r="Y239" s="607"/>
      <c r="Z239" s="607"/>
      <c r="AA239" s="607"/>
      <c r="AB239" s="607"/>
      <c r="AC239" s="607">
        <v>78445.42</v>
      </c>
      <c r="AD239" s="607">
        <v>7.14</v>
      </c>
      <c r="AE239" s="607">
        <v>67153.039999999994</v>
      </c>
      <c r="AF239" s="148"/>
      <c r="AG239" s="148"/>
      <c r="AH239" s="148"/>
      <c r="AI239" s="607"/>
      <c r="AJ239" s="607"/>
      <c r="AK239" s="148"/>
      <c r="AL239" s="148"/>
      <c r="AM239" s="148"/>
      <c r="AN239" s="607">
        <v>4500</v>
      </c>
      <c r="AO239" s="607"/>
      <c r="AP239" s="148"/>
      <c r="AQ239" s="168">
        <v>60990.750000000015</v>
      </c>
      <c r="AR239" s="238">
        <v>44599.829999999994</v>
      </c>
      <c r="AU239" s="633">
        <f t="shared" si="18"/>
        <v>0</v>
      </c>
      <c r="AX239" s="358">
        <v>233</v>
      </c>
      <c r="AY239" s="301" t="s">
        <v>265</v>
      </c>
      <c r="AZ239" s="139" t="s">
        <v>266</v>
      </c>
      <c r="BA239" s="633">
        <f t="shared" si="17"/>
        <v>0</v>
      </c>
      <c r="BC239" s="196">
        <v>233</v>
      </c>
      <c r="BD239" s="73" t="s">
        <v>265</v>
      </c>
      <c r="BE239" s="139" t="s">
        <v>266</v>
      </c>
      <c r="BF239" s="168">
        <v>60990.750000000015</v>
      </c>
      <c r="BG239" s="168">
        <v>36174.479999999996</v>
      </c>
    </row>
    <row r="240" spans="1:59">
      <c r="A240" s="139" t="s">
        <v>188</v>
      </c>
      <c r="B240" s="233" t="s">
        <v>187</v>
      </c>
      <c r="C240" s="233" t="str">
        <f t="shared" si="20"/>
        <v>03400 RICHLAND SCHOOL DISTRICT</v>
      </c>
      <c r="D240" s="607"/>
      <c r="E240" s="607">
        <v>212693.28</v>
      </c>
      <c r="F240" s="607">
        <v>31369.14</v>
      </c>
      <c r="G240" s="607">
        <v>29410720.699999999</v>
      </c>
      <c r="H240" s="607">
        <v>4841363.63</v>
      </c>
      <c r="I240" s="607">
        <v>1426985.21</v>
      </c>
      <c r="J240" s="607">
        <v>4215519.8899999997</v>
      </c>
      <c r="K240" s="607">
        <v>1630541.13</v>
      </c>
      <c r="L240" s="607">
        <v>433622.23</v>
      </c>
      <c r="M240" s="607">
        <v>5694014.0199999996</v>
      </c>
      <c r="N240" s="608">
        <v>3.95E-2</v>
      </c>
      <c r="O240" s="608">
        <v>0.15060000000000001</v>
      </c>
      <c r="P240" s="607"/>
      <c r="Q240" s="607"/>
      <c r="R240" s="607"/>
      <c r="S240" s="607">
        <v>155531.66</v>
      </c>
      <c r="T240" s="607">
        <v>15679.55</v>
      </c>
      <c r="U240" s="607">
        <v>5987.51</v>
      </c>
      <c r="V240" s="607"/>
      <c r="W240" s="607"/>
      <c r="X240" s="607"/>
      <c r="Y240" s="607">
        <v>11128.12</v>
      </c>
      <c r="Z240" s="607"/>
      <c r="AA240" s="607">
        <v>645996.28</v>
      </c>
      <c r="AB240" s="607">
        <v>1498906.02</v>
      </c>
      <c r="AC240" s="607">
        <v>8547681.6099999994</v>
      </c>
      <c r="AD240" s="607">
        <v>830.96</v>
      </c>
      <c r="AE240" s="607">
        <v>7827043.1299999999</v>
      </c>
      <c r="AF240" s="148"/>
      <c r="AG240" s="148"/>
      <c r="AH240" s="148"/>
      <c r="AI240" s="607">
        <v>151.88999999999999</v>
      </c>
      <c r="AJ240" s="607">
        <v>1403146.75</v>
      </c>
      <c r="AK240" s="148"/>
      <c r="AL240" s="148"/>
      <c r="AM240" s="148"/>
      <c r="AN240" s="607"/>
      <c r="AO240" s="607"/>
      <c r="AP240" s="148"/>
      <c r="AQ240" s="168">
        <v>192862.19999999879</v>
      </c>
      <c r="AR240" s="238">
        <v>1381894.3300000003</v>
      </c>
      <c r="AU240" s="633">
        <f t="shared" ref="AU240:AU271" si="21">+B240-AY240</f>
        <v>0</v>
      </c>
      <c r="AX240" s="358">
        <v>234</v>
      </c>
      <c r="AY240" s="301" t="s">
        <v>187</v>
      </c>
      <c r="AZ240" s="139" t="s">
        <v>188</v>
      </c>
      <c r="BA240" s="633">
        <f t="shared" si="17"/>
        <v>0</v>
      </c>
      <c r="BC240" s="196">
        <v>234</v>
      </c>
      <c r="BD240" s="73" t="s">
        <v>187</v>
      </c>
      <c r="BE240" s="139" t="s">
        <v>188</v>
      </c>
      <c r="BF240" s="168">
        <v>192862.19999999879</v>
      </c>
      <c r="BG240" s="168">
        <v>1149641.2200000002</v>
      </c>
    </row>
    <row r="241" spans="1:59">
      <c r="A241" s="139" t="s">
        <v>228</v>
      </c>
      <c r="B241" s="233" t="s">
        <v>227</v>
      </c>
      <c r="C241" s="233" t="str">
        <f t="shared" si="20"/>
        <v>06122 RIDGEFIELD SCHOOL DISTRICT</v>
      </c>
      <c r="D241" s="607"/>
      <c r="E241" s="607">
        <v>45004.44</v>
      </c>
      <c r="F241" s="607"/>
      <c r="G241" s="607">
        <v>8173788.5199999996</v>
      </c>
      <c r="H241" s="607">
        <v>1168515.56</v>
      </c>
      <c r="I241" s="607"/>
      <c r="J241" s="607">
        <v>806582.12</v>
      </c>
      <c r="K241" s="607">
        <v>399043.56</v>
      </c>
      <c r="L241" s="607">
        <v>141654.46</v>
      </c>
      <c r="M241" s="607"/>
      <c r="N241" s="608">
        <v>4.5999999999999999E-2</v>
      </c>
      <c r="O241" s="608">
        <v>0.15609999999999999</v>
      </c>
      <c r="P241" s="607"/>
      <c r="Q241" s="607"/>
      <c r="R241" s="607"/>
      <c r="S241" s="607"/>
      <c r="T241" s="607"/>
      <c r="U241" s="607"/>
      <c r="V241" s="607"/>
      <c r="W241" s="607"/>
      <c r="X241" s="607"/>
      <c r="Y241" s="607">
        <v>3417.67</v>
      </c>
      <c r="Z241" s="607"/>
      <c r="AA241" s="607">
        <v>15185.01</v>
      </c>
      <c r="AB241" s="607">
        <v>815183.35999999999</v>
      </c>
      <c r="AC241" s="607">
        <v>2477019.64</v>
      </c>
      <c r="AD241" s="607">
        <v>241.69</v>
      </c>
      <c r="AE241" s="607">
        <v>2369378.2599999998</v>
      </c>
      <c r="AF241" s="148"/>
      <c r="AG241" s="148"/>
      <c r="AH241" s="148"/>
      <c r="AI241" s="607">
        <v>79.88</v>
      </c>
      <c r="AJ241" s="607">
        <v>768771.13</v>
      </c>
      <c r="AK241" s="148"/>
      <c r="AL241" s="148"/>
      <c r="AM241" s="148"/>
      <c r="AN241" s="607"/>
      <c r="AO241" s="607">
        <v>10624.36</v>
      </c>
      <c r="AP241" s="148"/>
      <c r="AQ241" s="168">
        <v>0</v>
      </c>
      <c r="AR241" s="238">
        <v>429237.99999999994</v>
      </c>
      <c r="AU241" s="633">
        <f t="shared" si="21"/>
        <v>0</v>
      </c>
      <c r="AX241" s="358">
        <v>235</v>
      </c>
      <c r="AY241" s="301" t="s">
        <v>227</v>
      </c>
      <c r="AZ241" s="139" t="s">
        <v>228</v>
      </c>
      <c r="BA241" s="633">
        <f t="shared" si="17"/>
        <v>0</v>
      </c>
      <c r="BC241" s="196">
        <v>235</v>
      </c>
      <c r="BD241" s="73" t="s">
        <v>227</v>
      </c>
      <c r="BE241" s="139" t="s">
        <v>228</v>
      </c>
      <c r="BF241" s="168">
        <v>0</v>
      </c>
      <c r="BG241" s="168">
        <v>383327.14999999997</v>
      </c>
    </row>
    <row r="242" spans="1:59">
      <c r="A242" s="139" t="s">
        <v>172</v>
      </c>
      <c r="B242" s="233" t="s">
        <v>171</v>
      </c>
      <c r="C242" s="233" t="str">
        <f t="shared" si="20"/>
        <v>01160 RITZVILLE SCHOOL DISTRICT</v>
      </c>
      <c r="D242" s="607"/>
      <c r="E242" s="607"/>
      <c r="F242" s="607"/>
      <c r="G242" s="607">
        <v>599675.61</v>
      </c>
      <c r="H242" s="607">
        <v>91669.66</v>
      </c>
      <c r="I242" s="607">
        <v>58061.87</v>
      </c>
      <c r="J242" s="607">
        <v>140354.31</v>
      </c>
      <c r="K242" s="607"/>
      <c r="L242" s="607">
        <v>12229.57</v>
      </c>
      <c r="M242" s="607"/>
      <c r="N242" s="608">
        <v>5.5399999999999998E-2</v>
      </c>
      <c r="O242" s="608">
        <v>0.28949999999999998</v>
      </c>
      <c r="P242" s="607"/>
      <c r="Q242" s="607"/>
      <c r="R242" s="607"/>
      <c r="S242" s="607"/>
      <c r="T242" s="607"/>
      <c r="U242" s="607"/>
      <c r="V242" s="607"/>
      <c r="W242" s="607"/>
      <c r="X242" s="607"/>
      <c r="Y242" s="607">
        <v>71.290000000000006</v>
      </c>
      <c r="Z242" s="607"/>
      <c r="AA242" s="607"/>
      <c r="AB242" s="607">
        <v>85627.66</v>
      </c>
      <c r="AC242" s="607">
        <v>373795.95</v>
      </c>
      <c r="AD242" s="607">
        <v>37.35</v>
      </c>
      <c r="AE242" s="607">
        <v>358657.16</v>
      </c>
      <c r="AF242" s="148"/>
      <c r="AG242" s="148"/>
      <c r="AH242" s="148"/>
      <c r="AI242" s="607">
        <v>8.58</v>
      </c>
      <c r="AJ242" s="607">
        <v>80881.22</v>
      </c>
      <c r="AK242" s="148"/>
      <c r="AL242" s="148"/>
      <c r="AM242" s="148"/>
      <c r="AN242" s="607">
        <v>1150.46</v>
      </c>
      <c r="AO242" s="607"/>
      <c r="AP242" s="148"/>
      <c r="AQ242" s="168">
        <v>0</v>
      </c>
      <c r="AR242" s="238">
        <v>45273.789999999994</v>
      </c>
      <c r="AU242" s="633">
        <f t="shared" si="21"/>
        <v>0</v>
      </c>
      <c r="AX242" s="358">
        <v>236</v>
      </c>
      <c r="AY242" s="301" t="s">
        <v>171</v>
      </c>
      <c r="AZ242" s="139" t="s">
        <v>172</v>
      </c>
      <c r="BA242" s="633">
        <f t="shared" si="17"/>
        <v>0</v>
      </c>
      <c r="BC242" s="196">
        <v>236</v>
      </c>
      <c r="BD242" s="73" t="s">
        <v>171</v>
      </c>
      <c r="BE242" s="139" t="s">
        <v>172</v>
      </c>
      <c r="BF242" s="168">
        <v>0</v>
      </c>
      <c r="BG242" s="168">
        <v>40147.389999999992</v>
      </c>
    </row>
    <row r="243" spans="1:59">
      <c r="A243" s="139" t="s">
        <v>617</v>
      </c>
      <c r="B243" s="233" t="s">
        <v>616</v>
      </c>
      <c r="C243" s="233" t="str">
        <f t="shared" si="20"/>
        <v>32416 RIVERSIDE SCHOOL DISTRICT</v>
      </c>
      <c r="D243" s="607"/>
      <c r="E243" s="607">
        <v>24818.79</v>
      </c>
      <c r="F243" s="607">
        <v>201.29</v>
      </c>
      <c r="G243" s="607">
        <v>2129625.7000000002</v>
      </c>
      <c r="H243" s="607">
        <v>341927.71</v>
      </c>
      <c r="I243" s="607">
        <v>340221.56</v>
      </c>
      <c r="J243" s="607">
        <v>536086.62</v>
      </c>
      <c r="K243" s="607">
        <v>23000.68</v>
      </c>
      <c r="L243" s="607">
        <v>47087.18</v>
      </c>
      <c r="M243" s="607">
        <v>1588856.37</v>
      </c>
      <c r="N243" s="608">
        <v>3.6400000000000002E-2</v>
      </c>
      <c r="O243" s="608">
        <v>0.22720000000000001</v>
      </c>
      <c r="P243" s="607"/>
      <c r="Q243" s="607"/>
      <c r="R243" s="607"/>
      <c r="S243" s="607"/>
      <c r="T243" s="607"/>
      <c r="U243" s="607"/>
      <c r="V243" s="607"/>
      <c r="W243" s="607"/>
      <c r="X243" s="607"/>
      <c r="Y243" s="607">
        <v>1301.19</v>
      </c>
      <c r="Z243" s="607"/>
      <c r="AA243" s="607"/>
      <c r="AB243" s="607">
        <v>358307.18</v>
      </c>
      <c r="AC243" s="607">
        <v>966032.21</v>
      </c>
      <c r="AD243" s="607">
        <v>96.14</v>
      </c>
      <c r="AE243" s="607">
        <v>905482.31</v>
      </c>
      <c r="AF243" s="148"/>
      <c r="AG243" s="148"/>
      <c r="AH243" s="148"/>
      <c r="AI243" s="607">
        <v>36.19</v>
      </c>
      <c r="AJ243" s="607">
        <v>334317.34999999998</v>
      </c>
      <c r="AK243" s="148"/>
      <c r="AL243" s="148"/>
      <c r="AM243" s="148"/>
      <c r="AN243" s="607"/>
      <c r="AO243" s="607"/>
      <c r="AP243" s="148"/>
      <c r="AQ243" s="168">
        <v>6448.2299999999814</v>
      </c>
      <c r="AR243" s="238">
        <v>147272.09</v>
      </c>
      <c r="AU243" s="633">
        <f t="shared" si="21"/>
        <v>0</v>
      </c>
      <c r="AX243" s="358">
        <v>237</v>
      </c>
      <c r="AY243" s="301" t="s">
        <v>616</v>
      </c>
      <c r="AZ243" s="139" t="s">
        <v>617</v>
      </c>
      <c r="BA243" s="633">
        <f t="shared" si="17"/>
        <v>0</v>
      </c>
      <c r="BC243" s="196">
        <v>237</v>
      </c>
      <c r="BD243" s="73" t="s">
        <v>616</v>
      </c>
      <c r="BE243" s="139" t="s">
        <v>617</v>
      </c>
      <c r="BF243" s="168">
        <v>6448.2299999999814</v>
      </c>
      <c r="BG243" s="168">
        <v>129257.44000000002</v>
      </c>
    </row>
    <row r="244" spans="1:59">
      <c r="A244" s="139" t="s">
        <v>359</v>
      </c>
      <c r="B244" s="233" t="s">
        <v>358</v>
      </c>
      <c r="C244" s="233" t="str">
        <f t="shared" si="20"/>
        <v>17407 RIVERVIEW SCHOOL DISTRICT</v>
      </c>
      <c r="D244" s="607"/>
      <c r="E244" s="607"/>
      <c r="F244" s="607"/>
      <c r="G244" s="607">
        <v>5737169.75</v>
      </c>
      <c r="H244" s="607">
        <v>867956.73</v>
      </c>
      <c r="I244" s="607"/>
      <c r="J244" s="607">
        <v>498081.74</v>
      </c>
      <c r="K244" s="607">
        <v>478377.68</v>
      </c>
      <c r="L244" s="607">
        <v>108034.63</v>
      </c>
      <c r="M244" s="607">
        <v>2783256.31</v>
      </c>
      <c r="N244" s="608">
        <v>9.3600000000000003E-2</v>
      </c>
      <c r="O244" s="608">
        <v>0.19209999999999999</v>
      </c>
      <c r="P244" s="607"/>
      <c r="Q244" s="607"/>
      <c r="R244" s="607"/>
      <c r="S244" s="607"/>
      <c r="T244" s="607"/>
      <c r="U244" s="607"/>
      <c r="V244" s="607"/>
      <c r="W244" s="607"/>
      <c r="X244" s="607"/>
      <c r="Y244" s="607">
        <v>2471.2800000000002</v>
      </c>
      <c r="Z244" s="607"/>
      <c r="AA244" s="607"/>
      <c r="AB244" s="607">
        <v>226210.11</v>
      </c>
      <c r="AC244" s="607">
        <v>1771152.85</v>
      </c>
      <c r="AD244" s="607">
        <v>145.72999999999999</v>
      </c>
      <c r="AE244" s="607">
        <v>1540942.76</v>
      </c>
      <c r="AF244" s="148"/>
      <c r="AG244" s="148"/>
      <c r="AH244" s="148"/>
      <c r="AI244" s="607">
        <v>20.62</v>
      </c>
      <c r="AJ244" s="607">
        <v>214391.96</v>
      </c>
      <c r="AK244" s="148"/>
      <c r="AL244" s="148"/>
      <c r="AM244" s="148"/>
      <c r="AN244" s="607"/>
      <c r="AO244" s="607"/>
      <c r="AP244" s="148"/>
      <c r="AQ244" s="168">
        <v>59631.350000000093</v>
      </c>
      <c r="AR244" s="238">
        <v>338510.66</v>
      </c>
      <c r="AU244" s="633">
        <f t="shared" si="21"/>
        <v>0</v>
      </c>
      <c r="AX244" s="358">
        <v>238</v>
      </c>
      <c r="AY244" s="301" t="s">
        <v>358</v>
      </c>
      <c r="AZ244" s="139" t="s">
        <v>359</v>
      </c>
      <c r="BA244" s="633">
        <f t="shared" si="17"/>
        <v>0</v>
      </c>
      <c r="BC244" s="196">
        <v>238</v>
      </c>
      <c r="BD244" s="73" t="s">
        <v>358</v>
      </c>
      <c r="BE244" s="139" t="s">
        <v>359</v>
      </c>
      <c r="BF244" s="168">
        <v>59631.350000000093</v>
      </c>
      <c r="BG244" s="168">
        <v>296451.38</v>
      </c>
    </row>
    <row r="245" spans="1:59">
      <c r="A245" s="139" t="s">
        <v>653</v>
      </c>
      <c r="B245" s="233" t="s">
        <v>652</v>
      </c>
      <c r="C245" s="233" t="str">
        <f t="shared" si="20"/>
        <v>34401 ROCHESTER SCHOOL DISTRICT</v>
      </c>
      <c r="D245" s="607"/>
      <c r="E245" s="607">
        <v>89672.98</v>
      </c>
      <c r="F245" s="607">
        <v>48776.18</v>
      </c>
      <c r="G245" s="607">
        <v>5289067.28</v>
      </c>
      <c r="H245" s="607">
        <v>760642.23</v>
      </c>
      <c r="I245" s="607">
        <v>681548.47</v>
      </c>
      <c r="J245" s="607">
        <v>835189.79</v>
      </c>
      <c r="K245" s="607">
        <v>401258.31</v>
      </c>
      <c r="L245" s="607">
        <v>64772.52</v>
      </c>
      <c r="M245" s="607">
        <v>2460234.7200000002</v>
      </c>
      <c r="N245" s="608">
        <v>2.35E-2</v>
      </c>
      <c r="O245" s="608">
        <v>0.13930000000000001</v>
      </c>
      <c r="P245" s="607"/>
      <c r="Q245" s="607"/>
      <c r="R245" s="607"/>
      <c r="S245" s="607"/>
      <c r="T245" s="607"/>
      <c r="U245" s="607"/>
      <c r="V245" s="607"/>
      <c r="W245" s="607"/>
      <c r="X245" s="607"/>
      <c r="Y245" s="607">
        <v>1769.88</v>
      </c>
      <c r="Z245" s="607"/>
      <c r="AA245" s="607">
        <v>137115.14000000001</v>
      </c>
      <c r="AB245" s="607"/>
      <c r="AC245" s="607">
        <v>1353213.95</v>
      </c>
      <c r="AD245" s="607">
        <v>129.66999999999999</v>
      </c>
      <c r="AE245" s="607">
        <v>1221271.17</v>
      </c>
      <c r="AF245" s="148"/>
      <c r="AG245" s="148"/>
      <c r="AH245" s="148"/>
      <c r="AI245" s="607"/>
      <c r="AJ245" s="607"/>
      <c r="AK245" s="148"/>
      <c r="AL245" s="148"/>
      <c r="AM245" s="148"/>
      <c r="AN245" s="607">
        <v>4215.0200000000004</v>
      </c>
      <c r="AO245" s="607"/>
      <c r="AP245" s="148"/>
      <c r="AQ245" s="168">
        <v>0</v>
      </c>
      <c r="AR245" s="238">
        <v>231219.36999999997</v>
      </c>
      <c r="AU245" s="633">
        <f t="shared" si="21"/>
        <v>0</v>
      </c>
      <c r="AX245" s="358">
        <v>239</v>
      </c>
      <c r="AY245" s="301" t="s">
        <v>652</v>
      </c>
      <c r="AZ245" s="139" t="s">
        <v>653</v>
      </c>
      <c r="BA245" s="633">
        <f t="shared" si="17"/>
        <v>0</v>
      </c>
      <c r="BC245" s="196">
        <v>239</v>
      </c>
      <c r="BD245" s="73" t="s">
        <v>652</v>
      </c>
      <c r="BE245" s="139" t="s">
        <v>653</v>
      </c>
      <c r="BF245" s="168">
        <v>0</v>
      </c>
      <c r="BG245" s="168">
        <v>202138.98999999996</v>
      </c>
    </row>
    <row r="246" spans="1:59">
      <c r="A246" s="139" t="s">
        <v>409</v>
      </c>
      <c r="B246" s="233" t="s">
        <v>408</v>
      </c>
      <c r="C246" s="233" t="str">
        <f t="shared" si="20"/>
        <v>20403 ROOSEVELT SCHOOL DISTRICT</v>
      </c>
      <c r="D246" s="607"/>
      <c r="E246" s="607"/>
      <c r="F246" s="607"/>
      <c r="G246" s="607"/>
      <c r="H246" s="607">
        <v>6467.1</v>
      </c>
      <c r="I246" s="607"/>
      <c r="J246" s="607">
        <v>6300.41</v>
      </c>
      <c r="K246" s="607">
        <v>16678.22</v>
      </c>
      <c r="L246" s="607"/>
      <c r="M246" s="607">
        <v>120669.68</v>
      </c>
      <c r="N246" s="608">
        <v>0.15459999999999999</v>
      </c>
      <c r="O246" s="608">
        <v>0.45340000000000003</v>
      </c>
      <c r="P246" s="607"/>
      <c r="Q246" s="607"/>
      <c r="R246" s="607"/>
      <c r="S246" s="607"/>
      <c r="T246" s="607"/>
      <c r="U246" s="607"/>
      <c r="V246" s="607"/>
      <c r="W246" s="607"/>
      <c r="X246" s="607"/>
      <c r="Y246" s="607">
        <v>19.670000000000002</v>
      </c>
      <c r="Z246" s="607"/>
      <c r="AA246" s="607"/>
      <c r="AB246" s="607"/>
      <c r="AC246" s="607"/>
      <c r="AD246" s="607"/>
      <c r="AE246" s="607"/>
      <c r="AF246" s="148"/>
      <c r="AG246" s="148"/>
      <c r="AH246" s="148"/>
      <c r="AI246" s="607"/>
      <c r="AJ246" s="607"/>
      <c r="AK246" s="148"/>
      <c r="AL246" s="148"/>
      <c r="AM246" s="148"/>
      <c r="AN246" s="607"/>
      <c r="AO246" s="607"/>
      <c r="AP246" s="148"/>
      <c r="AQ246" s="168">
        <v>7.680000000000291</v>
      </c>
      <c r="AR246" s="238">
        <v>4449.3100000000004</v>
      </c>
      <c r="AU246" s="633">
        <f t="shared" si="21"/>
        <v>0</v>
      </c>
      <c r="AX246" s="358">
        <v>240</v>
      </c>
      <c r="AY246" s="301" t="s">
        <v>408</v>
      </c>
      <c r="AZ246" s="139" t="s">
        <v>409</v>
      </c>
      <c r="BA246" s="633">
        <f t="shared" si="17"/>
        <v>0</v>
      </c>
      <c r="BC246" s="196">
        <v>240</v>
      </c>
      <c r="BD246" s="73" t="s">
        <v>408</v>
      </c>
      <c r="BE246" s="139" t="s">
        <v>409</v>
      </c>
      <c r="BF246" s="168">
        <v>7.680000000000291</v>
      </c>
      <c r="BG246" s="168">
        <v>4549.3500000000004</v>
      </c>
    </row>
    <row r="247" spans="1:59">
      <c r="A247" s="295" t="s">
        <v>2306</v>
      </c>
      <c r="B247" s="235" t="s">
        <v>2307</v>
      </c>
      <c r="C247" s="233" t="str">
        <f t="shared" si="20"/>
        <v>06901 ROOTED VANCOUVER SCHOOL DISTRICT</v>
      </c>
      <c r="D247" s="607"/>
      <c r="E247" s="607"/>
      <c r="F247" s="607"/>
      <c r="G247" s="607">
        <v>250022.9</v>
      </c>
      <c r="H247" s="607">
        <v>47084.21</v>
      </c>
      <c r="I247" s="607">
        <v>18244.259999999998</v>
      </c>
      <c r="J247" s="607">
        <v>26378.639999999999</v>
      </c>
      <c r="K247" s="607"/>
      <c r="L247" s="607">
        <v>2207.91</v>
      </c>
      <c r="M247" s="607"/>
      <c r="N247" s="608">
        <v>3.8699999999999998E-2</v>
      </c>
      <c r="O247" s="608">
        <v>0.1535</v>
      </c>
      <c r="P247" s="607"/>
      <c r="Q247" s="607"/>
      <c r="R247" s="607"/>
      <c r="S247" s="607"/>
      <c r="T247" s="607"/>
      <c r="U247" s="607"/>
      <c r="V247" s="607"/>
      <c r="W247" s="607"/>
      <c r="X247" s="607"/>
      <c r="Y247" s="607"/>
      <c r="Z247" s="607"/>
      <c r="AA247" s="607"/>
      <c r="AB247" s="607"/>
      <c r="AC247" s="607">
        <v>72059.34</v>
      </c>
      <c r="AD247" s="607">
        <v>7.01</v>
      </c>
      <c r="AE247" s="607">
        <v>68779.839999999997</v>
      </c>
      <c r="AF247" s="148"/>
      <c r="AG247" s="148"/>
      <c r="AH247" s="148"/>
      <c r="AI247" s="607"/>
      <c r="AJ247" s="607"/>
      <c r="AK247" s="148"/>
      <c r="AL247" s="148"/>
      <c r="AM247" s="148"/>
      <c r="AN247" s="607"/>
      <c r="AO247" s="607"/>
      <c r="AP247" s="148"/>
      <c r="AQ247" s="168">
        <v>0</v>
      </c>
      <c r="AR247" s="238">
        <v>17616.319999999996</v>
      </c>
      <c r="AU247" s="633">
        <f t="shared" si="21"/>
        <v>0</v>
      </c>
      <c r="AX247" s="358">
        <v>241</v>
      </c>
      <c r="AY247" s="306" t="s">
        <v>2307</v>
      </c>
      <c r="AZ247" s="295" t="s">
        <v>2306</v>
      </c>
      <c r="BA247" s="633">
        <f t="shared" si="17"/>
        <v>0</v>
      </c>
      <c r="BC247" s="196">
        <v>241</v>
      </c>
      <c r="BD247" s="290" t="s">
        <v>2307</v>
      </c>
      <c r="BE247" s="295" t="s">
        <v>2306</v>
      </c>
      <c r="BF247" s="168">
        <v>0</v>
      </c>
      <c r="BG247" s="168">
        <v>15624.279999999997</v>
      </c>
    </row>
    <row r="248" spans="1:59">
      <c r="A248" s="139" t="s">
        <v>706</v>
      </c>
      <c r="B248" s="233" t="s">
        <v>705</v>
      </c>
      <c r="C248" s="233" t="str">
        <f t="shared" si="20"/>
        <v>38320 ROSALIA SCHOOL DISTRICT</v>
      </c>
      <c r="D248" s="607"/>
      <c r="E248" s="607"/>
      <c r="F248" s="607"/>
      <c r="G248" s="607">
        <v>346424.81</v>
      </c>
      <c r="H248" s="607">
        <v>59572.45</v>
      </c>
      <c r="I248" s="607">
        <v>48803.98</v>
      </c>
      <c r="J248" s="607">
        <v>67662.67</v>
      </c>
      <c r="K248" s="607"/>
      <c r="L248" s="607">
        <v>4457.5</v>
      </c>
      <c r="M248" s="607">
        <v>261265.08</v>
      </c>
      <c r="N248" s="608">
        <v>5.2299999999999999E-2</v>
      </c>
      <c r="O248" s="608">
        <v>0.26300000000000001</v>
      </c>
      <c r="P248" s="607"/>
      <c r="Q248" s="607"/>
      <c r="R248" s="607"/>
      <c r="S248" s="607"/>
      <c r="T248" s="607"/>
      <c r="U248" s="607"/>
      <c r="V248" s="607"/>
      <c r="W248" s="607"/>
      <c r="X248" s="607"/>
      <c r="Y248" s="607">
        <v>128.63999999999999</v>
      </c>
      <c r="Z248" s="607"/>
      <c r="AA248" s="607"/>
      <c r="AB248" s="607">
        <v>33154.300000000003</v>
      </c>
      <c r="AC248" s="607">
        <v>60954.22</v>
      </c>
      <c r="AD248" s="607">
        <v>5.85</v>
      </c>
      <c r="AE248" s="607">
        <v>55978.29</v>
      </c>
      <c r="AF248" s="148"/>
      <c r="AG248" s="148"/>
      <c r="AH248" s="148"/>
      <c r="AI248" s="607">
        <v>3.33</v>
      </c>
      <c r="AJ248" s="607">
        <v>31287.360000000001</v>
      </c>
      <c r="AK248" s="148"/>
      <c r="AL248" s="148"/>
      <c r="AM248" s="148"/>
      <c r="AN248" s="607"/>
      <c r="AO248" s="607"/>
      <c r="AP248" s="148"/>
      <c r="AQ248" s="168">
        <v>1516.3600000000006</v>
      </c>
      <c r="AR248" s="238">
        <v>28735.890000000003</v>
      </c>
      <c r="AU248" s="633">
        <f t="shared" si="21"/>
        <v>0</v>
      </c>
      <c r="AX248" s="358">
        <v>242</v>
      </c>
      <c r="AY248" s="301" t="s">
        <v>705</v>
      </c>
      <c r="AZ248" s="139" t="s">
        <v>706</v>
      </c>
      <c r="BA248" s="633">
        <f t="shared" si="17"/>
        <v>0</v>
      </c>
      <c r="BC248" s="196">
        <v>242</v>
      </c>
      <c r="BD248" s="73" t="s">
        <v>705</v>
      </c>
      <c r="BE248" s="139" t="s">
        <v>706</v>
      </c>
      <c r="BF248" s="168">
        <v>1516.3600000000006</v>
      </c>
      <c r="BG248" s="168">
        <v>25780.02</v>
      </c>
    </row>
    <row r="249" spans="1:59">
      <c r="A249" s="139" t="s">
        <v>288</v>
      </c>
      <c r="B249" s="233" t="s">
        <v>287</v>
      </c>
      <c r="C249" s="233" t="str">
        <f t="shared" si="20"/>
        <v>13160 ROYAL SCHOOL DISTRICT</v>
      </c>
      <c r="D249" s="607"/>
      <c r="E249" s="607">
        <v>89924.25</v>
      </c>
      <c r="F249" s="607">
        <v>24764.02</v>
      </c>
      <c r="G249" s="607">
        <v>2580190.44</v>
      </c>
      <c r="H249" s="607">
        <v>450697.87</v>
      </c>
      <c r="I249" s="607">
        <v>559630.22</v>
      </c>
      <c r="J249" s="607">
        <v>830989.53</v>
      </c>
      <c r="K249" s="607">
        <v>1346793.39</v>
      </c>
      <c r="L249" s="607">
        <v>53387.59</v>
      </c>
      <c r="M249" s="607">
        <v>1320240.08</v>
      </c>
      <c r="N249" s="608">
        <v>5.1900000000000002E-2</v>
      </c>
      <c r="O249" s="608">
        <v>0.1739</v>
      </c>
      <c r="P249" s="607"/>
      <c r="Q249" s="607"/>
      <c r="R249" s="607"/>
      <c r="S249" s="607"/>
      <c r="T249" s="607"/>
      <c r="U249" s="607"/>
      <c r="V249" s="607"/>
      <c r="W249" s="607"/>
      <c r="X249" s="607"/>
      <c r="Y249" s="607">
        <v>1432.29</v>
      </c>
      <c r="Z249" s="607">
        <v>49816.56</v>
      </c>
      <c r="AA249" s="607">
        <v>49816.56</v>
      </c>
      <c r="AB249" s="607">
        <v>321173.18</v>
      </c>
      <c r="AC249" s="607">
        <v>1220976.96</v>
      </c>
      <c r="AD249" s="607">
        <v>119.92</v>
      </c>
      <c r="AE249" s="607">
        <v>1129566.24</v>
      </c>
      <c r="AF249" s="148"/>
      <c r="AG249" s="148"/>
      <c r="AH249" s="148"/>
      <c r="AI249" s="607">
        <v>32.89</v>
      </c>
      <c r="AJ249" s="607">
        <v>303807.81</v>
      </c>
      <c r="AK249" s="148"/>
      <c r="AL249" s="148"/>
      <c r="AM249" s="148"/>
      <c r="AN249" s="607"/>
      <c r="AO249" s="607"/>
      <c r="AP249" s="148"/>
      <c r="AQ249" s="168">
        <v>0</v>
      </c>
      <c r="AR249" s="238">
        <v>209839.19</v>
      </c>
      <c r="AU249" s="633">
        <f t="shared" si="21"/>
        <v>0</v>
      </c>
      <c r="AX249" s="358">
        <v>243</v>
      </c>
      <c r="AY249" s="301" t="s">
        <v>287</v>
      </c>
      <c r="AZ249" s="139" t="s">
        <v>288</v>
      </c>
      <c r="BA249" s="633">
        <f t="shared" si="17"/>
        <v>0</v>
      </c>
      <c r="BC249" s="196">
        <v>243</v>
      </c>
      <c r="BD249" s="73" t="s">
        <v>287</v>
      </c>
      <c r="BE249" s="139" t="s">
        <v>288</v>
      </c>
      <c r="BF249" s="168">
        <v>0</v>
      </c>
      <c r="BG249" s="168">
        <v>187737.66</v>
      </c>
    </row>
    <row r="250" spans="1:59">
      <c r="A250" s="139" t="s">
        <v>542</v>
      </c>
      <c r="B250" s="233" t="s">
        <v>541</v>
      </c>
      <c r="C250" s="233" t="str">
        <f t="shared" si="20"/>
        <v>28149 SAN JUAN SCHOOL DISTRICT</v>
      </c>
      <c r="D250" s="607"/>
      <c r="E250" s="607"/>
      <c r="F250" s="607"/>
      <c r="G250" s="607">
        <v>2160932.42</v>
      </c>
      <c r="H250" s="607">
        <v>310953.77</v>
      </c>
      <c r="I250" s="607"/>
      <c r="J250" s="607">
        <v>249117.82</v>
      </c>
      <c r="K250" s="607">
        <v>146157.97</v>
      </c>
      <c r="L250" s="607">
        <v>27788.1</v>
      </c>
      <c r="M250" s="607">
        <v>444020.16</v>
      </c>
      <c r="N250" s="608">
        <v>6.7299999999999999E-2</v>
      </c>
      <c r="O250" s="608">
        <v>0.22969999999999999</v>
      </c>
      <c r="P250" s="607"/>
      <c r="Q250" s="607"/>
      <c r="R250" s="607"/>
      <c r="S250" s="607"/>
      <c r="T250" s="607"/>
      <c r="U250" s="607"/>
      <c r="V250" s="607"/>
      <c r="W250" s="607"/>
      <c r="X250" s="607"/>
      <c r="Y250" s="607">
        <v>683.37</v>
      </c>
      <c r="Z250" s="607"/>
      <c r="AA250" s="607"/>
      <c r="AB250" s="607"/>
      <c r="AC250" s="607">
        <v>255572.36</v>
      </c>
      <c r="AD250" s="607">
        <v>23.89</v>
      </c>
      <c r="AE250" s="607">
        <v>243387.64</v>
      </c>
      <c r="AF250" s="148"/>
      <c r="AG250" s="148"/>
      <c r="AH250" s="148"/>
      <c r="AI250" s="607"/>
      <c r="AJ250" s="607"/>
      <c r="AK250" s="148"/>
      <c r="AL250" s="148"/>
      <c r="AM250" s="148"/>
      <c r="AN250" s="607">
        <v>571.67999999999995</v>
      </c>
      <c r="AO250" s="607"/>
      <c r="AP250" s="148"/>
      <c r="AQ250" s="168">
        <v>9481.7700000000623</v>
      </c>
      <c r="AR250" s="238">
        <v>95224.13</v>
      </c>
      <c r="AU250" s="633">
        <f t="shared" si="21"/>
        <v>0</v>
      </c>
      <c r="AX250" s="358">
        <v>244</v>
      </c>
      <c r="AY250" s="301" t="s">
        <v>541</v>
      </c>
      <c r="AZ250" s="139" t="s">
        <v>542</v>
      </c>
      <c r="BA250" s="633">
        <f t="shared" si="17"/>
        <v>0</v>
      </c>
      <c r="BC250" s="196">
        <v>244</v>
      </c>
      <c r="BD250" s="73" t="s">
        <v>541</v>
      </c>
      <c r="BE250" s="139" t="s">
        <v>542</v>
      </c>
      <c r="BF250" s="168">
        <v>9481.7700000000623</v>
      </c>
      <c r="BG250" s="168">
        <v>82084.47</v>
      </c>
    </row>
    <row r="251" spans="1:59">
      <c r="A251" s="139" t="s">
        <v>315</v>
      </c>
      <c r="B251" s="233" t="s">
        <v>314</v>
      </c>
      <c r="C251" s="233" t="str">
        <f t="shared" si="20"/>
        <v>14104 SATSOP SCHOOL DISTRICT</v>
      </c>
      <c r="D251" s="607"/>
      <c r="E251" s="607"/>
      <c r="F251" s="607"/>
      <c r="G251" s="607">
        <v>299872.73</v>
      </c>
      <c r="H251" s="607">
        <v>30102.77</v>
      </c>
      <c r="I251" s="607">
        <v>20227.599999999999</v>
      </c>
      <c r="J251" s="607">
        <v>27743.86</v>
      </c>
      <c r="K251" s="607"/>
      <c r="L251" s="607"/>
      <c r="M251" s="607"/>
      <c r="N251" s="608">
        <v>0.10050000000000001</v>
      </c>
      <c r="O251" s="608">
        <v>0.36909999999999998</v>
      </c>
      <c r="P251" s="607"/>
      <c r="Q251" s="607"/>
      <c r="R251" s="607"/>
      <c r="S251" s="607"/>
      <c r="T251" s="607"/>
      <c r="U251" s="607"/>
      <c r="V251" s="607"/>
      <c r="W251" s="607"/>
      <c r="X251" s="607"/>
      <c r="Y251" s="607">
        <v>60.63</v>
      </c>
      <c r="Z251" s="607"/>
      <c r="AA251" s="607"/>
      <c r="AB251" s="607"/>
      <c r="AC251" s="607"/>
      <c r="AD251" s="607"/>
      <c r="AE251" s="607"/>
      <c r="AF251" s="148"/>
      <c r="AG251" s="148"/>
      <c r="AH251" s="148"/>
      <c r="AI251" s="607"/>
      <c r="AJ251" s="607"/>
      <c r="AK251" s="148"/>
      <c r="AL251" s="148"/>
      <c r="AM251" s="148"/>
      <c r="AN251" s="607">
        <v>434.2</v>
      </c>
      <c r="AO251" s="607"/>
      <c r="AP251" s="148"/>
      <c r="AQ251" s="168">
        <v>24236.159999999996</v>
      </c>
      <c r="AR251" s="238">
        <v>9938.7199999999975</v>
      </c>
      <c r="AU251" s="633">
        <f t="shared" si="21"/>
        <v>0</v>
      </c>
      <c r="AX251" s="358">
        <v>245</v>
      </c>
      <c r="AY251" s="301" t="s">
        <v>314</v>
      </c>
      <c r="AZ251" s="139" t="s">
        <v>315</v>
      </c>
      <c r="BA251" s="633">
        <f t="shared" si="17"/>
        <v>0</v>
      </c>
      <c r="BC251" s="196">
        <v>245</v>
      </c>
      <c r="BD251" s="73" t="s">
        <v>314</v>
      </c>
      <c r="BE251" s="139" t="s">
        <v>315</v>
      </c>
      <c r="BF251" s="168">
        <v>24236.159999999996</v>
      </c>
      <c r="BG251" s="168">
        <v>8302.99</v>
      </c>
    </row>
    <row r="252" spans="1:59">
      <c r="A252" s="139" t="s">
        <v>339</v>
      </c>
      <c r="B252" s="233" t="s">
        <v>338</v>
      </c>
      <c r="C252" s="233" t="str">
        <f t="shared" si="20"/>
        <v>17001 SEATTLE SCHOOL DISTRICT</v>
      </c>
      <c r="D252" s="607"/>
      <c r="E252" s="607">
        <v>777412.09</v>
      </c>
      <c r="F252" s="607">
        <v>504865.81</v>
      </c>
      <c r="G252" s="607">
        <v>148821065</v>
      </c>
      <c r="H252" s="607">
        <v>20328047.609999999</v>
      </c>
      <c r="I252" s="607">
        <v>5321885.32</v>
      </c>
      <c r="J252" s="607">
        <v>16444605.26</v>
      </c>
      <c r="K252" s="607">
        <v>14837255.15</v>
      </c>
      <c r="L252" s="607">
        <v>1814012.39</v>
      </c>
      <c r="M252" s="607">
        <v>40429255.350000001</v>
      </c>
      <c r="N252" s="608">
        <v>4.7100000000000003E-2</v>
      </c>
      <c r="O252" s="608">
        <v>0.158</v>
      </c>
      <c r="P252" s="607"/>
      <c r="Q252" s="607"/>
      <c r="R252" s="607"/>
      <c r="S252" s="607">
        <v>842337</v>
      </c>
      <c r="T252" s="607">
        <v>109522.92</v>
      </c>
      <c r="U252" s="607">
        <v>27917.119999999999</v>
      </c>
      <c r="V252" s="607"/>
      <c r="W252" s="607"/>
      <c r="X252" s="607"/>
      <c r="Y252" s="607"/>
      <c r="Z252" s="607"/>
      <c r="AA252" s="607">
        <v>1323780.31</v>
      </c>
      <c r="AB252" s="607">
        <v>5619060.5599999996</v>
      </c>
      <c r="AC252" s="607">
        <v>21621591.170000002</v>
      </c>
      <c r="AD252" s="607">
        <v>1913.25</v>
      </c>
      <c r="AE252" s="607">
        <v>20228876.07</v>
      </c>
      <c r="AF252" s="148"/>
      <c r="AG252" s="148"/>
      <c r="AH252" s="148"/>
      <c r="AI252" s="607">
        <v>510.69</v>
      </c>
      <c r="AJ252" s="607">
        <v>5308863.7300000004</v>
      </c>
      <c r="AK252" s="148"/>
      <c r="AL252" s="148"/>
      <c r="AM252" s="148"/>
      <c r="AN252" s="607"/>
      <c r="AO252" s="607"/>
      <c r="AP252" s="148"/>
      <c r="AQ252" s="168">
        <v>0</v>
      </c>
      <c r="AR252" s="238">
        <v>6347896.4699999997</v>
      </c>
      <c r="AU252" s="633">
        <f t="shared" si="21"/>
        <v>0</v>
      </c>
      <c r="AX252" s="358">
        <v>246</v>
      </c>
      <c r="AY252" s="301" t="s">
        <v>338</v>
      </c>
      <c r="AZ252" s="139" t="s">
        <v>339</v>
      </c>
      <c r="BA252" s="633">
        <f t="shared" si="17"/>
        <v>0</v>
      </c>
      <c r="BC252" s="196">
        <v>246</v>
      </c>
      <c r="BD252" s="73" t="s">
        <v>338</v>
      </c>
      <c r="BE252" s="139" t="s">
        <v>339</v>
      </c>
      <c r="BF252" s="168">
        <v>0</v>
      </c>
      <c r="BG252" s="168">
        <v>5574442.7299999995</v>
      </c>
    </row>
    <row r="253" spans="1:59">
      <c r="A253" s="139" t="s">
        <v>547</v>
      </c>
      <c r="B253" s="233" t="s">
        <v>546</v>
      </c>
      <c r="C253" s="233" t="str">
        <f t="shared" si="20"/>
        <v>29101 SEDRO WOOLLEY SCHOOL DISTRICT</v>
      </c>
      <c r="D253" s="607"/>
      <c r="E253" s="607">
        <v>167586.51</v>
      </c>
      <c r="F253" s="607">
        <v>51107.91</v>
      </c>
      <c r="G253" s="607">
        <v>13223115.380000001</v>
      </c>
      <c r="H253" s="607">
        <v>2097615.38</v>
      </c>
      <c r="I253" s="607">
        <v>823283.19999999995</v>
      </c>
      <c r="J253" s="607">
        <v>1754062.43</v>
      </c>
      <c r="K253" s="607">
        <v>829710.85</v>
      </c>
      <c r="L253" s="607">
        <v>150640.71</v>
      </c>
      <c r="M253" s="607">
        <v>3927149.61</v>
      </c>
      <c r="N253" s="608">
        <v>3.4700000000000002E-2</v>
      </c>
      <c r="O253" s="608">
        <v>0.1318</v>
      </c>
      <c r="P253" s="607"/>
      <c r="Q253" s="607"/>
      <c r="R253" s="607"/>
      <c r="S253" s="607"/>
      <c r="T253" s="607"/>
      <c r="U253" s="607"/>
      <c r="V253" s="607"/>
      <c r="W253" s="607"/>
      <c r="X253" s="607"/>
      <c r="Y253" s="607">
        <v>3777.38</v>
      </c>
      <c r="Z253" s="607"/>
      <c r="AA253" s="607">
        <v>386589.33</v>
      </c>
      <c r="AB253" s="607">
        <v>229436.81</v>
      </c>
      <c r="AC253" s="607">
        <v>3930446.95</v>
      </c>
      <c r="AD253" s="607">
        <v>354.98</v>
      </c>
      <c r="AE253" s="607">
        <v>3616696.59</v>
      </c>
      <c r="AF253" s="148"/>
      <c r="AG253" s="148"/>
      <c r="AH253" s="148"/>
      <c r="AI253" s="607">
        <v>21.36</v>
      </c>
      <c r="AJ253" s="607">
        <v>213718.74</v>
      </c>
      <c r="AK253" s="148"/>
      <c r="AL253" s="148"/>
      <c r="AM253" s="148"/>
      <c r="AN253" s="607"/>
      <c r="AO253" s="607"/>
      <c r="AP253" s="148"/>
      <c r="AQ253" s="168">
        <v>0</v>
      </c>
      <c r="AR253" s="238">
        <v>563019.35000000009</v>
      </c>
      <c r="AU253" s="633">
        <f t="shared" si="21"/>
        <v>0</v>
      </c>
      <c r="AX253" s="358">
        <v>247</v>
      </c>
      <c r="AY253" s="301" t="s">
        <v>546</v>
      </c>
      <c r="AZ253" s="139" t="s">
        <v>547</v>
      </c>
      <c r="BA253" s="633">
        <f t="shared" si="17"/>
        <v>0</v>
      </c>
      <c r="BC253" s="196">
        <v>247</v>
      </c>
      <c r="BD253" s="73" t="s">
        <v>546</v>
      </c>
      <c r="BE253" s="139" t="s">
        <v>547</v>
      </c>
      <c r="BF253" s="168">
        <v>0</v>
      </c>
      <c r="BG253" s="168">
        <v>473345.01999999996</v>
      </c>
    </row>
    <row r="254" spans="1:59">
      <c r="A254" s="139" t="s">
        <v>719</v>
      </c>
      <c r="B254" s="233" t="s">
        <v>718</v>
      </c>
      <c r="C254" s="233" t="str">
        <f t="shared" si="20"/>
        <v>39119 SELAH SCHOOL DISTRICT</v>
      </c>
      <c r="D254" s="607"/>
      <c r="E254" s="607">
        <v>12388.58</v>
      </c>
      <c r="F254" s="607">
        <v>81071.360000000001</v>
      </c>
      <c r="G254" s="607">
        <v>6084680.1399999997</v>
      </c>
      <c r="H254" s="607">
        <v>1019891.08</v>
      </c>
      <c r="I254" s="607">
        <v>1151204.57</v>
      </c>
      <c r="J254" s="607">
        <v>1430301.21</v>
      </c>
      <c r="K254" s="607">
        <v>732969.55</v>
      </c>
      <c r="L254" s="607">
        <v>113959.84</v>
      </c>
      <c r="M254" s="607">
        <v>2302977.4500000002</v>
      </c>
      <c r="N254" s="608">
        <v>5.2600000000000001E-2</v>
      </c>
      <c r="O254" s="608">
        <v>0.15290000000000001</v>
      </c>
      <c r="P254" s="607"/>
      <c r="Q254" s="607"/>
      <c r="R254" s="607"/>
      <c r="S254" s="607"/>
      <c r="T254" s="607"/>
      <c r="U254" s="607"/>
      <c r="V254" s="607">
        <v>288734.65999999997</v>
      </c>
      <c r="W254" s="607"/>
      <c r="X254" s="607">
        <v>10868.2</v>
      </c>
      <c r="Y254" s="607">
        <v>1356.91</v>
      </c>
      <c r="Z254" s="607"/>
      <c r="AA254" s="607"/>
      <c r="AB254" s="607">
        <v>2248536.6800000002</v>
      </c>
      <c r="AC254" s="607">
        <v>4202688.93</v>
      </c>
      <c r="AD254" s="607">
        <v>426.86</v>
      </c>
      <c r="AE254" s="607">
        <v>4020547.93</v>
      </c>
      <c r="AF254" s="148"/>
      <c r="AG254" s="148"/>
      <c r="AH254" s="148"/>
      <c r="AI254" s="607">
        <v>230.39</v>
      </c>
      <c r="AJ254" s="607">
        <v>2128385.85</v>
      </c>
      <c r="AK254" s="148"/>
      <c r="AL254" s="148"/>
      <c r="AM254" s="148"/>
      <c r="AN254" s="607">
        <v>20000</v>
      </c>
      <c r="AO254" s="607"/>
      <c r="AP254" s="148"/>
      <c r="AQ254" s="168">
        <v>0</v>
      </c>
      <c r="AR254" s="238">
        <v>403367.93999999994</v>
      </c>
      <c r="AU254" s="633">
        <f t="shared" si="21"/>
        <v>0</v>
      </c>
      <c r="AX254" s="358">
        <v>248</v>
      </c>
      <c r="AY254" s="301" t="s">
        <v>718</v>
      </c>
      <c r="AZ254" s="139" t="s">
        <v>719</v>
      </c>
      <c r="BA254" s="633">
        <f t="shared" si="17"/>
        <v>0</v>
      </c>
      <c r="BC254" s="196">
        <v>248</v>
      </c>
      <c r="BD254" s="73" t="s">
        <v>718</v>
      </c>
      <c r="BE254" s="139" t="s">
        <v>719</v>
      </c>
      <c r="BF254" s="168">
        <v>0</v>
      </c>
      <c r="BG254" s="168">
        <v>353805.63999999996</v>
      </c>
    </row>
    <row r="255" spans="1:59">
      <c r="A255" s="139" t="s">
        <v>504</v>
      </c>
      <c r="B255" s="233" t="s">
        <v>503</v>
      </c>
      <c r="C255" s="233" t="str">
        <f t="shared" si="20"/>
        <v>26070 SELKIRK SCHOOL DISTRICT</v>
      </c>
      <c r="D255" s="607"/>
      <c r="E255" s="607"/>
      <c r="F255" s="607"/>
      <c r="G255" s="607">
        <v>578430.09</v>
      </c>
      <c r="H255" s="607">
        <v>95410.1</v>
      </c>
      <c r="I255" s="607">
        <v>82900</v>
      </c>
      <c r="J255" s="607">
        <v>116170.53</v>
      </c>
      <c r="K255" s="607"/>
      <c r="L255" s="607"/>
      <c r="M255" s="607">
        <v>387470.07</v>
      </c>
      <c r="N255" s="608">
        <v>4.7100000000000003E-2</v>
      </c>
      <c r="O255" s="608">
        <v>0.28860000000000002</v>
      </c>
      <c r="P255" s="607"/>
      <c r="Q255" s="607"/>
      <c r="R255" s="607"/>
      <c r="S255" s="607"/>
      <c r="T255" s="607"/>
      <c r="U255" s="607"/>
      <c r="V255" s="607"/>
      <c r="W255" s="607"/>
      <c r="X255" s="607"/>
      <c r="Y255" s="607">
        <v>200.75</v>
      </c>
      <c r="Z255" s="607"/>
      <c r="AA255" s="607"/>
      <c r="AB255" s="607">
        <v>43904.25</v>
      </c>
      <c r="AC255" s="607">
        <v>244125.96</v>
      </c>
      <c r="AD255" s="607">
        <v>24.82</v>
      </c>
      <c r="AE255" s="607">
        <v>233794.97</v>
      </c>
      <c r="AF255" s="148"/>
      <c r="AG255" s="148"/>
      <c r="AH255" s="148"/>
      <c r="AI255" s="607">
        <v>4.4800000000000004</v>
      </c>
      <c r="AJ255" s="607">
        <v>41335</v>
      </c>
      <c r="AK255" s="148"/>
      <c r="AL255" s="148"/>
      <c r="AM255" s="148"/>
      <c r="AN255" s="607">
        <v>80</v>
      </c>
      <c r="AO255" s="607"/>
      <c r="AP255" s="148"/>
      <c r="AQ255" s="168">
        <v>23025.090000000055</v>
      </c>
      <c r="AR255" s="238">
        <v>37588.899999999994</v>
      </c>
      <c r="AU255" s="633">
        <f t="shared" si="21"/>
        <v>0</v>
      </c>
      <c r="AX255" s="358">
        <v>249</v>
      </c>
      <c r="AY255" s="301" t="s">
        <v>503</v>
      </c>
      <c r="AZ255" s="139" t="s">
        <v>504</v>
      </c>
      <c r="BA255" s="633">
        <f t="shared" si="17"/>
        <v>0</v>
      </c>
      <c r="BC255" s="196">
        <v>249</v>
      </c>
      <c r="BD255" s="73" t="s">
        <v>503</v>
      </c>
      <c r="BE255" s="139" t="s">
        <v>504</v>
      </c>
      <c r="BF255" s="168">
        <v>23025.090000000055</v>
      </c>
      <c r="BG255" s="168">
        <v>32703.17</v>
      </c>
    </row>
    <row r="256" spans="1:59">
      <c r="A256" s="139" t="s">
        <v>208</v>
      </c>
      <c r="B256" s="233" t="s">
        <v>207</v>
      </c>
      <c r="C256" s="233" t="str">
        <f t="shared" si="20"/>
        <v>05323 SEQUIM SCHOOL DISTRICT</v>
      </c>
      <c r="D256" s="607"/>
      <c r="E256" s="607">
        <v>38043.879999999997</v>
      </c>
      <c r="F256" s="607">
        <v>21995.11</v>
      </c>
      <c r="G256" s="607">
        <v>6170500.8600000003</v>
      </c>
      <c r="H256" s="607">
        <v>1002835.85</v>
      </c>
      <c r="I256" s="607">
        <v>178142.98</v>
      </c>
      <c r="J256" s="607">
        <v>956719.57</v>
      </c>
      <c r="K256" s="607">
        <v>106694.31</v>
      </c>
      <c r="L256" s="607">
        <v>85411.01</v>
      </c>
      <c r="M256" s="607">
        <v>1641410.86</v>
      </c>
      <c r="N256" s="608">
        <v>6.1800000000000001E-2</v>
      </c>
      <c r="O256" s="608">
        <v>0.19589999999999999</v>
      </c>
      <c r="P256" s="607"/>
      <c r="Q256" s="607"/>
      <c r="R256" s="607"/>
      <c r="S256" s="607"/>
      <c r="T256" s="607"/>
      <c r="U256" s="607"/>
      <c r="V256" s="607"/>
      <c r="W256" s="607"/>
      <c r="X256" s="607"/>
      <c r="Y256" s="607">
        <v>2083.71</v>
      </c>
      <c r="Z256" s="607">
        <v>32161.46</v>
      </c>
      <c r="AA256" s="607">
        <v>30086.53</v>
      </c>
      <c r="AB256" s="607">
        <v>717605.39</v>
      </c>
      <c r="AC256" s="607">
        <v>2361522.94</v>
      </c>
      <c r="AD256" s="607">
        <v>226.43</v>
      </c>
      <c r="AE256" s="607">
        <v>2219820.1800000002</v>
      </c>
      <c r="AF256" s="148"/>
      <c r="AG256" s="148"/>
      <c r="AH256" s="148"/>
      <c r="AI256" s="607">
        <v>70.61</v>
      </c>
      <c r="AJ256" s="607">
        <v>679531.88</v>
      </c>
      <c r="AK256" s="148"/>
      <c r="AL256" s="148"/>
      <c r="AM256" s="148"/>
      <c r="AN256" s="607"/>
      <c r="AO256" s="607"/>
      <c r="AP256" s="148"/>
      <c r="AQ256" s="168">
        <v>8590.5300000000861</v>
      </c>
      <c r="AR256" s="238">
        <v>273909.99000000005</v>
      </c>
      <c r="AU256" s="633">
        <f t="shared" si="21"/>
        <v>0</v>
      </c>
      <c r="AX256" s="358">
        <v>250</v>
      </c>
      <c r="AY256" s="301" t="s">
        <v>207</v>
      </c>
      <c r="AZ256" s="139" t="s">
        <v>208</v>
      </c>
      <c r="BA256" s="633">
        <f t="shared" si="17"/>
        <v>0</v>
      </c>
      <c r="BC256" s="196">
        <v>250</v>
      </c>
      <c r="BD256" s="73" t="s">
        <v>207</v>
      </c>
      <c r="BE256" s="139" t="s">
        <v>208</v>
      </c>
      <c r="BF256" s="168">
        <v>8590.5300000000861</v>
      </c>
      <c r="BG256" s="168">
        <v>226255.39</v>
      </c>
    </row>
    <row r="257" spans="1:59">
      <c r="A257" s="139" t="s">
        <v>536</v>
      </c>
      <c r="B257" s="233" t="s">
        <v>535</v>
      </c>
      <c r="C257" s="233" t="str">
        <f t="shared" si="20"/>
        <v>28010 SHAW SCHOOL DISTRICT</v>
      </c>
      <c r="D257" s="607"/>
      <c r="E257" s="607"/>
      <c r="F257" s="607"/>
      <c r="G257" s="607">
        <v>6163.19</v>
      </c>
      <c r="H257" s="607">
        <v>846.62</v>
      </c>
      <c r="I257" s="607"/>
      <c r="J257" s="607"/>
      <c r="K257" s="607"/>
      <c r="L257" s="607">
        <v>255.1</v>
      </c>
      <c r="M257" s="607"/>
      <c r="N257" s="608">
        <v>0.27589999999999998</v>
      </c>
      <c r="O257" s="608">
        <v>0.5806</v>
      </c>
      <c r="P257" s="607"/>
      <c r="Q257" s="607"/>
      <c r="R257" s="607"/>
      <c r="S257" s="607"/>
      <c r="T257" s="607"/>
      <c r="U257" s="607"/>
      <c r="V257" s="607"/>
      <c r="W257" s="607"/>
      <c r="X257" s="607"/>
      <c r="Y257" s="607"/>
      <c r="Z257" s="607"/>
      <c r="AA257" s="607"/>
      <c r="AB257" s="607"/>
      <c r="AC257" s="607"/>
      <c r="AD257" s="607"/>
      <c r="AE257" s="607"/>
      <c r="AF257" s="148"/>
      <c r="AG257" s="148"/>
      <c r="AH257" s="148"/>
      <c r="AI257" s="607"/>
      <c r="AJ257" s="607"/>
      <c r="AK257" s="148"/>
      <c r="AL257" s="148"/>
      <c r="AM257" s="148"/>
      <c r="AN257" s="607"/>
      <c r="AO257" s="607"/>
      <c r="AP257" s="148"/>
      <c r="AQ257" s="168">
        <v>17009.289999999997</v>
      </c>
      <c r="AR257" s="238">
        <v>3355.51</v>
      </c>
      <c r="AU257" s="633">
        <f t="shared" si="21"/>
        <v>0</v>
      </c>
      <c r="AX257" s="358">
        <v>251</v>
      </c>
      <c r="AY257" s="301" t="s">
        <v>535</v>
      </c>
      <c r="AZ257" s="139" t="s">
        <v>536</v>
      </c>
      <c r="BA257" s="633">
        <f t="shared" si="17"/>
        <v>0</v>
      </c>
      <c r="BC257" s="196">
        <v>251</v>
      </c>
      <c r="BD257" s="73" t="s">
        <v>535</v>
      </c>
      <c r="BE257" s="139" t="s">
        <v>536</v>
      </c>
      <c r="BF257" s="168">
        <v>17009.289999999997</v>
      </c>
      <c r="BG257" s="168">
        <v>3410.98</v>
      </c>
    </row>
    <row r="258" spans="1:59">
      <c r="A258" s="139" t="s">
        <v>463</v>
      </c>
      <c r="B258" s="233" t="s">
        <v>462</v>
      </c>
      <c r="C258" s="233" t="str">
        <f t="shared" si="20"/>
        <v>23309 SHELTON SCHOOL DISTRICT</v>
      </c>
      <c r="D258" s="607"/>
      <c r="E258" s="607"/>
      <c r="F258" s="607">
        <v>136306.70000000001</v>
      </c>
      <c r="G258" s="607">
        <v>9189714.8900000006</v>
      </c>
      <c r="H258" s="607">
        <v>1395525.07</v>
      </c>
      <c r="I258" s="607">
        <v>1373708.15</v>
      </c>
      <c r="J258" s="607">
        <v>2053709.15</v>
      </c>
      <c r="K258" s="607">
        <v>1925407.67</v>
      </c>
      <c r="L258" s="607">
        <v>132308.39000000001</v>
      </c>
      <c r="M258" s="607">
        <v>4230176.08</v>
      </c>
      <c r="N258" s="608">
        <v>2.7699999999999999E-2</v>
      </c>
      <c r="O258" s="608">
        <v>0.1673</v>
      </c>
      <c r="P258" s="607"/>
      <c r="Q258" s="607"/>
      <c r="R258" s="607"/>
      <c r="S258" s="607">
        <v>155475.42000000001</v>
      </c>
      <c r="T258" s="607">
        <v>12105.44</v>
      </c>
      <c r="U258" s="607">
        <v>5987.21</v>
      </c>
      <c r="V258" s="607"/>
      <c r="W258" s="607"/>
      <c r="X258" s="607"/>
      <c r="Y258" s="607">
        <v>426.08</v>
      </c>
      <c r="Z258" s="607">
        <v>94494.04</v>
      </c>
      <c r="AA258" s="607">
        <v>283482.12</v>
      </c>
      <c r="AB258" s="607">
        <v>1798107.72</v>
      </c>
      <c r="AC258" s="607">
        <v>7121861.21</v>
      </c>
      <c r="AD258" s="607">
        <v>696.76</v>
      </c>
      <c r="AE258" s="607">
        <v>6562922.6699999999</v>
      </c>
      <c r="AF258" s="148"/>
      <c r="AG258" s="148"/>
      <c r="AH258" s="148"/>
      <c r="AI258" s="607">
        <v>180.01</v>
      </c>
      <c r="AJ258" s="607">
        <v>1663014.21</v>
      </c>
      <c r="AK258" s="148"/>
      <c r="AL258" s="148"/>
      <c r="AM258" s="148"/>
      <c r="AN258" s="607">
        <v>5953.11</v>
      </c>
      <c r="AO258" s="607"/>
      <c r="AP258" s="148"/>
      <c r="AQ258" s="168">
        <v>842180.52999999956</v>
      </c>
      <c r="AR258" s="238">
        <v>485608.3600000001</v>
      </c>
      <c r="AU258" s="633">
        <f t="shared" si="21"/>
        <v>0</v>
      </c>
      <c r="AX258" s="358">
        <v>252</v>
      </c>
      <c r="AY258" s="301" t="s">
        <v>462</v>
      </c>
      <c r="AZ258" s="139" t="s">
        <v>463</v>
      </c>
      <c r="BA258" s="633">
        <f t="shared" si="17"/>
        <v>0</v>
      </c>
      <c r="BC258" s="196">
        <v>252</v>
      </c>
      <c r="BD258" s="73" t="s">
        <v>462</v>
      </c>
      <c r="BE258" s="139" t="s">
        <v>463</v>
      </c>
      <c r="BF258" s="168">
        <v>842180.52999999956</v>
      </c>
      <c r="BG258" s="168">
        <v>415953.64000000007</v>
      </c>
    </row>
    <row r="259" spans="1:59">
      <c r="A259" s="139" t="s">
        <v>367</v>
      </c>
      <c r="B259" s="233" t="s">
        <v>366</v>
      </c>
      <c r="C259" s="233" t="str">
        <f t="shared" si="20"/>
        <v>17412 SHORELINE SCHOOL DISTRICT</v>
      </c>
      <c r="D259" s="607"/>
      <c r="E259" s="607">
        <v>213536.18</v>
      </c>
      <c r="F259" s="607"/>
      <c r="G259" s="607">
        <v>22211112.629999999</v>
      </c>
      <c r="H259" s="607">
        <v>3173532.67</v>
      </c>
      <c r="I259" s="607"/>
      <c r="J259" s="607">
        <v>2308650.29</v>
      </c>
      <c r="K259" s="607">
        <v>2350126.23</v>
      </c>
      <c r="L259" s="607">
        <v>340302.71</v>
      </c>
      <c r="M259" s="607">
        <v>5649396.2800000003</v>
      </c>
      <c r="N259" s="608">
        <v>2.93E-2</v>
      </c>
      <c r="O259" s="608">
        <v>0.12939999999999999</v>
      </c>
      <c r="P259" s="607"/>
      <c r="Q259" s="607"/>
      <c r="R259" s="607"/>
      <c r="S259" s="607"/>
      <c r="T259" s="607"/>
      <c r="U259" s="607"/>
      <c r="V259" s="607">
        <v>279710.78000000003</v>
      </c>
      <c r="W259" s="607">
        <v>26492.22</v>
      </c>
      <c r="X259" s="607">
        <v>11343.6</v>
      </c>
      <c r="Y259" s="607">
        <v>7635.07</v>
      </c>
      <c r="Z259" s="607">
        <v>27293.98</v>
      </c>
      <c r="AA259" s="607">
        <v>399174.48</v>
      </c>
      <c r="AB259" s="607">
        <v>359922.28</v>
      </c>
      <c r="AC259" s="607">
        <v>5582932.0999999996</v>
      </c>
      <c r="AD259" s="607">
        <v>478.6</v>
      </c>
      <c r="AE259" s="607">
        <v>5060266.62</v>
      </c>
      <c r="AF259" s="148"/>
      <c r="AG259" s="148"/>
      <c r="AH259" s="148"/>
      <c r="AI259" s="607">
        <v>32.11</v>
      </c>
      <c r="AJ259" s="607">
        <v>333833.40000000002</v>
      </c>
      <c r="AK259" s="148"/>
      <c r="AL259" s="148"/>
      <c r="AM259" s="148"/>
      <c r="AN259" s="607"/>
      <c r="AO259" s="607"/>
      <c r="AP259" s="148"/>
      <c r="AQ259" s="168">
        <v>290195.21000000066</v>
      </c>
      <c r="AR259" s="238">
        <v>1126392.6500000001</v>
      </c>
      <c r="AU259" s="633">
        <f t="shared" si="21"/>
        <v>0</v>
      </c>
      <c r="AX259" s="358">
        <v>253</v>
      </c>
      <c r="AY259" s="301" t="s">
        <v>366</v>
      </c>
      <c r="AZ259" s="139" t="s">
        <v>367</v>
      </c>
      <c r="BA259" s="633">
        <f t="shared" si="17"/>
        <v>0</v>
      </c>
      <c r="BC259" s="196">
        <v>253</v>
      </c>
      <c r="BD259" s="73" t="s">
        <v>366</v>
      </c>
      <c r="BE259" s="139" t="s">
        <v>367</v>
      </c>
      <c r="BF259" s="168">
        <v>290195.21000000066</v>
      </c>
      <c r="BG259" s="168">
        <v>995970.2699999999</v>
      </c>
    </row>
    <row r="260" spans="1:59">
      <c r="A260" s="139" t="s">
        <v>557</v>
      </c>
      <c r="B260" s="235" t="s">
        <v>556</v>
      </c>
      <c r="C260" s="233" t="str">
        <f t="shared" si="20"/>
        <v>30002 SKAMANIA SCHOOL DISTRICT</v>
      </c>
      <c r="D260" s="607"/>
      <c r="E260" s="607"/>
      <c r="F260" s="607"/>
      <c r="G260" s="607"/>
      <c r="H260" s="607">
        <v>24638.21</v>
      </c>
      <c r="I260" s="607">
        <v>37418.160000000003</v>
      </c>
      <c r="J260" s="607">
        <v>54035.55</v>
      </c>
      <c r="K260" s="607"/>
      <c r="L260" s="607">
        <v>3834.79</v>
      </c>
      <c r="M260" s="607">
        <v>125954.18</v>
      </c>
      <c r="N260" s="608">
        <v>0.1109</v>
      </c>
      <c r="O260" s="608">
        <v>0.33989999999999998</v>
      </c>
      <c r="P260" s="607"/>
      <c r="Q260" s="607"/>
      <c r="R260" s="607"/>
      <c r="S260" s="607"/>
      <c r="T260" s="607"/>
      <c r="U260" s="607"/>
      <c r="V260" s="607"/>
      <c r="W260" s="607"/>
      <c r="X260" s="607"/>
      <c r="Y260" s="607">
        <v>100.78</v>
      </c>
      <c r="Z260" s="607"/>
      <c r="AA260" s="607"/>
      <c r="AB260" s="607"/>
      <c r="AC260" s="607"/>
      <c r="AD260" s="607"/>
      <c r="AE260" s="607"/>
      <c r="AF260" s="148"/>
      <c r="AG260" s="148"/>
      <c r="AH260" s="148"/>
      <c r="AI260" s="607"/>
      <c r="AJ260" s="607"/>
      <c r="AK260" s="148"/>
      <c r="AL260" s="148"/>
      <c r="AM260" s="148"/>
      <c r="AN260" s="607"/>
      <c r="AO260" s="607">
        <v>34863.75</v>
      </c>
      <c r="AP260" s="148"/>
      <c r="AQ260" s="168">
        <v>0</v>
      </c>
      <c r="AR260" s="238">
        <v>14147.179999999998</v>
      </c>
      <c r="AU260" s="633">
        <f t="shared" si="21"/>
        <v>0</v>
      </c>
      <c r="AX260" s="358">
        <v>254</v>
      </c>
      <c r="AY260" s="301" t="s">
        <v>556</v>
      </c>
      <c r="AZ260" s="139" t="s">
        <v>557</v>
      </c>
      <c r="BA260" s="633">
        <f t="shared" si="17"/>
        <v>0</v>
      </c>
      <c r="BC260" s="196">
        <v>254</v>
      </c>
      <c r="BD260" s="173" t="s">
        <v>556</v>
      </c>
      <c r="BE260" s="139" t="s">
        <v>557</v>
      </c>
      <c r="BF260" s="168">
        <v>0</v>
      </c>
      <c r="BG260" s="168">
        <v>14247.15</v>
      </c>
    </row>
    <row r="261" spans="1:59">
      <c r="A261" s="139" t="s">
        <v>353</v>
      </c>
      <c r="B261" s="233" t="s">
        <v>352</v>
      </c>
      <c r="C261" s="233" t="str">
        <f t="shared" si="20"/>
        <v>17404 SKYKOMISH SCHOOL DISTRICT</v>
      </c>
      <c r="D261" s="607"/>
      <c r="E261" s="607"/>
      <c r="F261" s="607">
        <v>1577.79</v>
      </c>
      <c r="G261" s="607">
        <v>171265.32</v>
      </c>
      <c r="H261" s="607">
        <v>27405.3</v>
      </c>
      <c r="I261" s="607">
        <v>15178.41</v>
      </c>
      <c r="J261" s="607">
        <v>25254.85</v>
      </c>
      <c r="K261" s="607"/>
      <c r="L261" s="607"/>
      <c r="M261" s="607">
        <v>167809.18</v>
      </c>
      <c r="N261" s="608">
        <v>4.2799999999999998E-2</v>
      </c>
      <c r="O261" s="608">
        <v>0.29520000000000002</v>
      </c>
      <c r="P261" s="607"/>
      <c r="Q261" s="607"/>
      <c r="R261" s="607"/>
      <c r="S261" s="607"/>
      <c r="T261" s="607"/>
      <c r="U261" s="607"/>
      <c r="V261" s="607"/>
      <c r="W261" s="607"/>
      <c r="X261" s="607"/>
      <c r="Y261" s="607"/>
      <c r="Z261" s="607"/>
      <c r="AA261" s="607"/>
      <c r="AB261" s="607"/>
      <c r="AC261" s="607">
        <v>17219.349999999999</v>
      </c>
      <c r="AD261" s="607">
        <v>1.56</v>
      </c>
      <c r="AE261" s="607">
        <v>16411.22</v>
      </c>
      <c r="AF261" s="148"/>
      <c r="AG261" s="148"/>
      <c r="AH261" s="148"/>
      <c r="AI261" s="607"/>
      <c r="AJ261" s="607"/>
      <c r="AK261" s="148"/>
      <c r="AL261" s="148"/>
      <c r="AM261" s="148"/>
      <c r="AN261" s="607"/>
      <c r="AO261" s="607"/>
      <c r="AP261" s="148"/>
      <c r="AQ261" s="168">
        <v>43316.039999999994</v>
      </c>
      <c r="AR261" s="238">
        <v>25199.97</v>
      </c>
      <c r="AU261" s="633">
        <f t="shared" si="21"/>
        <v>0</v>
      </c>
      <c r="AX261" s="358">
        <v>255</v>
      </c>
      <c r="AY261" s="301" t="s">
        <v>352</v>
      </c>
      <c r="AZ261" s="139" t="s">
        <v>353</v>
      </c>
      <c r="BA261" s="633">
        <f t="shared" si="17"/>
        <v>0</v>
      </c>
      <c r="BC261" s="196">
        <v>255</v>
      </c>
      <c r="BD261" s="73" t="s">
        <v>352</v>
      </c>
      <c r="BE261" s="139" t="s">
        <v>353</v>
      </c>
      <c r="BF261" s="168">
        <v>43316.039999999994</v>
      </c>
      <c r="BG261" s="168">
        <v>23764.530000000002</v>
      </c>
    </row>
    <row r="262" spans="1:59">
      <c r="A262" s="139" t="s">
        <v>581</v>
      </c>
      <c r="B262" s="233" t="s">
        <v>580</v>
      </c>
      <c r="C262" s="233" t="str">
        <f t="shared" si="20"/>
        <v>31201 SNOHOMISH SCHOOL DISTRICT</v>
      </c>
      <c r="D262" s="607"/>
      <c r="E262" s="607">
        <v>159052.76999999999</v>
      </c>
      <c r="F262" s="607">
        <v>1201.5999999999999</v>
      </c>
      <c r="G262" s="607">
        <v>23714758.420000002</v>
      </c>
      <c r="H262" s="607">
        <v>3327013.81</v>
      </c>
      <c r="I262" s="607"/>
      <c r="J262" s="607">
        <v>1756028.1</v>
      </c>
      <c r="K262" s="607">
        <v>1423068.44</v>
      </c>
      <c r="L262" s="607">
        <v>364257.97</v>
      </c>
      <c r="M262" s="607">
        <v>7077974.9699999997</v>
      </c>
      <c r="N262" s="608">
        <v>5.11E-2</v>
      </c>
      <c r="O262" s="608">
        <v>0.18360000000000001</v>
      </c>
      <c r="P262" s="607"/>
      <c r="Q262" s="607"/>
      <c r="R262" s="607"/>
      <c r="S262" s="607"/>
      <c r="T262" s="607"/>
      <c r="U262" s="607"/>
      <c r="V262" s="607"/>
      <c r="W262" s="607"/>
      <c r="X262" s="607"/>
      <c r="Y262" s="607">
        <v>8166.03</v>
      </c>
      <c r="Z262" s="607">
        <v>72119.86</v>
      </c>
      <c r="AA262" s="607">
        <v>415176.48</v>
      </c>
      <c r="AB262" s="607">
        <v>1325260.95</v>
      </c>
      <c r="AC262" s="607">
        <v>5273933.8099999996</v>
      </c>
      <c r="AD262" s="607">
        <v>443.23</v>
      </c>
      <c r="AE262" s="607">
        <v>4768598.5199999996</v>
      </c>
      <c r="AF262" s="148"/>
      <c r="AG262" s="148"/>
      <c r="AH262" s="148"/>
      <c r="AI262" s="607">
        <v>118.64</v>
      </c>
      <c r="AJ262" s="607">
        <v>1255396.6399999999</v>
      </c>
      <c r="AK262" s="148"/>
      <c r="AL262" s="148"/>
      <c r="AM262" s="148"/>
      <c r="AN262" s="607"/>
      <c r="AO262" s="607"/>
      <c r="AP262" s="148"/>
      <c r="AQ262" s="168">
        <v>0</v>
      </c>
      <c r="AR262" s="238">
        <v>1191062.1399999999</v>
      </c>
      <c r="AU262" s="633">
        <f t="shared" si="21"/>
        <v>0</v>
      </c>
      <c r="AX262" s="358">
        <v>256</v>
      </c>
      <c r="AY262" s="301" t="s">
        <v>580</v>
      </c>
      <c r="AZ262" s="139" t="s">
        <v>581</v>
      </c>
      <c r="BA262" s="633">
        <f t="shared" si="17"/>
        <v>0</v>
      </c>
      <c r="BC262" s="196">
        <v>256</v>
      </c>
      <c r="BD262" s="73" t="s">
        <v>580</v>
      </c>
      <c r="BE262" s="139" t="s">
        <v>581</v>
      </c>
      <c r="BF262" s="168">
        <v>0</v>
      </c>
      <c r="BG262" s="168">
        <v>1048125.57</v>
      </c>
    </row>
    <row r="263" spans="1:59">
      <c r="A263" s="139" t="s">
        <v>1135</v>
      </c>
      <c r="B263" s="233" t="s">
        <v>363</v>
      </c>
      <c r="C263" s="233" t="str">
        <f t="shared" si="20"/>
        <v>17410 SNOQUALMIE VALLEY SCHOOL DISTRICT</v>
      </c>
      <c r="D263" s="607"/>
      <c r="E263" s="607"/>
      <c r="F263" s="607"/>
      <c r="G263" s="607">
        <v>17397417.43</v>
      </c>
      <c r="H263" s="607">
        <v>2091191.27</v>
      </c>
      <c r="I263" s="607"/>
      <c r="J263" s="607">
        <v>681625.81</v>
      </c>
      <c r="K263" s="607">
        <v>630960.4</v>
      </c>
      <c r="L263" s="607">
        <v>255737.23</v>
      </c>
      <c r="M263" s="607">
        <v>4596345.71</v>
      </c>
      <c r="N263" s="608">
        <v>3.7900000000000003E-2</v>
      </c>
      <c r="O263" s="608">
        <v>0.1578</v>
      </c>
      <c r="P263" s="607"/>
      <c r="Q263" s="607"/>
      <c r="R263" s="607"/>
      <c r="S263" s="607"/>
      <c r="T263" s="607"/>
      <c r="U263" s="607"/>
      <c r="V263" s="607"/>
      <c r="W263" s="607"/>
      <c r="X263" s="607"/>
      <c r="Y263" s="607">
        <v>3140.72</v>
      </c>
      <c r="Z263" s="607">
        <v>44651.43</v>
      </c>
      <c r="AA263" s="607">
        <v>126426.84</v>
      </c>
      <c r="AB263" s="607">
        <v>566014.74</v>
      </c>
      <c r="AC263" s="607">
        <v>5159493.62</v>
      </c>
      <c r="AD263" s="607">
        <v>433.37</v>
      </c>
      <c r="AE263" s="607">
        <v>4582156.96</v>
      </c>
      <c r="AF263" s="148"/>
      <c r="AG263" s="148"/>
      <c r="AH263" s="148"/>
      <c r="AI263" s="607">
        <v>50.95</v>
      </c>
      <c r="AJ263" s="607">
        <v>529745.85</v>
      </c>
      <c r="AK263" s="148"/>
      <c r="AL263" s="148"/>
      <c r="AM263" s="148"/>
      <c r="AN263" s="607">
        <v>37916.07</v>
      </c>
      <c r="AO263" s="607"/>
      <c r="AP263" s="148"/>
      <c r="AQ263" s="168">
        <v>0</v>
      </c>
      <c r="AR263" s="238">
        <v>773008.76000000013</v>
      </c>
      <c r="AU263" s="633">
        <f t="shared" si="21"/>
        <v>0</v>
      </c>
      <c r="AX263" s="358">
        <v>257</v>
      </c>
      <c r="AY263" s="301" t="s">
        <v>363</v>
      </c>
      <c r="AZ263" s="139" t="s">
        <v>1135</v>
      </c>
      <c r="BA263" s="633">
        <f t="shared" si="17"/>
        <v>0</v>
      </c>
      <c r="BC263" s="196">
        <v>257</v>
      </c>
      <c r="BD263" s="73" t="s">
        <v>363</v>
      </c>
      <c r="BE263" s="139" t="s">
        <v>1135</v>
      </c>
      <c r="BF263" s="168">
        <v>0</v>
      </c>
      <c r="BG263" s="168">
        <v>709615.2200000002</v>
      </c>
    </row>
    <row r="264" spans="1:59">
      <c r="A264" s="139" t="s">
        <v>286</v>
      </c>
      <c r="B264" s="233" t="s">
        <v>285</v>
      </c>
      <c r="C264" s="233" t="str">
        <f t="shared" si="20"/>
        <v>13156 SOAP LAKE SCHOOL DISTRICT</v>
      </c>
      <c r="D264" s="607"/>
      <c r="E264" s="607"/>
      <c r="F264" s="607"/>
      <c r="G264" s="607">
        <v>1556709.91</v>
      </c>
      <c r="H264" s="607">
        <v>224019.55</v>
      </c>
      <c r="I264" s="607">
        <v>177184.91</v>
      </c>
      <c r="J264" s="607">
        <v>286723.45</v>
      </c>
      <c r="K264" s="607">
        <v>255841.68</v>
      </c>
      <c r="L264" s="607">
        <v>15806.26</v>
      </c>
      <c r="M264" s="607">
        <v>452420.79</v>
      </c>
      <c r="N264" s="608">
        <v>5.33E-2</v>
      </c>
      <c r="O264" s="608">
        <v>0.28899999999999998</v>
      </c>
      <c r="P264" s="607"/>
      <c r="Q264" s="607"/>
      <c r="R264" s="607"/>
      <c r="S264" s="607"/>
      <c r="T264" s="607"/>
      <c r="U264" s="607"/>
      <c r="V264" s="607"/>
      <c r="W264" s="607"/>
      <c r="X264" s="607"/>
      <c r="Y264" s="607">
        <v>469.51</v>
      </c>
      <c r="Z264" s="607"/>
      <c r="AA264" s="607">
        <v>28642.73</v>
      </c>
      <c r="AB264" s="607">
        <v>86258.7</v>
      </c>
      <c r="AC264" s="607">
        <v>627771.07999999996</v>
      </c>
      <c r="AD264" s="607">
        <v>63.5</v>
      </c>
      <c r="AE264" s="607">
        <v>598095.66</v>
      </c>
      <c r="AF264" s="148"/>
      <c r="AG264" s="148"/>
      <c r="AH264" s="148"/>
      <c r="AI264" s="607">
        <v>8.84</v>
      </c>
      <c r="AJ264" s="607">
        <v>81730.12</v>
      </c>
      <c r="AK264" s="148"/>
      <c r="AL264" s="148"/>
      <c r="AM264" s="148"/>
      <c r="AN264" s="607">
        <v>190.4</v>
      </c>
      <c r="AO264" s="607"/>
      <c r="AP264" s="148"/>
      <c r="AQ264" s="168">
        <v>14315.130000000019</v>
      </c>
      <c r="AR264" s="238">
        <v>72360.5</v>
      </c>
      <c r="AU264" s="633">
        <f t="shared" si="21"/>
        <v>0</v>
      </c>
      <c r="AX264" s="358">
        <v>258</v>
      </c>
      <c r="AY264" s="301" t="s">
        <v>285</v>
      </c>
      <c r="AZ264" s="139" t="s">
        <v>286</v>
      </c>
      <c r="BA264" s="633">
        <f t="shared" ref="BA264:BA286" si="22">+AY264-BD264</f>
        <v>0</v>
      </c>
      <c r="BC264" s="196">
        <v>258</v>
      </c>
      <c r="BD264" s="73" t="s">
        <v>285</v>
      </c>
      <c r="BE264" s="139" t="s">
        <v>286</v>
      </c>
      <c r="BF264" s="168">
        <v>14315.130000000019</v>
      </c>
      <c r="BG264" s="168">
        <v>62279.83</v>
      </c>
    </row>
    <row r="265" spans="1:59">
      <c r="A265" s="113" t="s">
        <v>493</v>
      </c>
      <c r="B265" s="233" t="s">
        <v>492</v>
      </c>
      <c r="C265" s="233" t="str">
        <f t="shared" si="20"/>
        <v>25118 SOUTH BEND SCHOOL DISTRICT</v>
      </c>
      <c r="D265" s="607"/>
      <c r="E265" s="607"/>
      <c r="F265" s="607">
        <v>8517.5300000000007</v>
      </c>
      <c r="G265" s="607">
        <v>3859683.98</v>
      </c>
      <c r="H265" s="607">
        <v>711077.43</v>
      </c>
      <c r="I265" s="607">
        <v>176079.57</v>
      </c>
      <c r="J265" s="607">
        <v>630482.07999999996</v>
      </c>
      <c r="K265" s="607">
        <v>400168.22</v>
      </c>
      <c r="L265" s="607">
        <v>70409.72</v>
      </c>
      <c r="M265" s="607">
        <v>624033.46</v>
      </c>
      <c r="N265" s="608">
        <v>3.5400000000000001E-2</v>
      </c>
      <c r="O265" s="608">
        <v>0.1694</v>
      </c>
      <c r="P265" s="607"/>
      <c r="Q265" s="607"/>
      <c r="R265" s="607"/>
      <c r="S265" s="607"/>
      <c r="T265" s="607"/>
      <c r="U265" s="607"/>
      <c r="V265" s="607"/>
      <c r="W265" s="607"/>
      <c r="X265" s="607"/>
      <c r="Y265" s="607">
        <v>496.55</v>
      </c>
      <c r="Z265" s="607"/>
      <c r="AA265" s="607"/>
      <c r="AB265" s="607">
        <v>58173.4</v>
      </c>
      <c r="AC265" s="607">
        <v>390589.33</v>
      </c>
      <c r="AD265" s="607">
        <v>37.01</v>
      </c>
      <c r="AE265" s="607">
        <v>348486.66</v>
      </c>
      <c r="AF265" s="148"/>
      <c r="AG265" s="148"/>
      <c r="AH265" s="148"/>
      <c r="AI265" s="607">
        <v>5.86</v>
      </c>
      <c r="AJ265" s="607">
        <v>54029.23</v>
      </c>
      <c r="AK265" s="148"/>
      <c r="AL265" s="148"/>
      <c r="AM265" s="148"/>
      <c r="AN265" s="607">
        <v>4761.66</v>
      </c>
      <c r="AO265" s="607"/>
      <c r="AP265" s="148"/>
      <c r="AQ265" s="168">
        <v>15630.979999999989</v>
      </c>
      <c r="AR265" s="238">
        <v>95196.19</v>
      </c>
      <c r="AU265" s="633">
        <f t="shared" si="21"/>
        <v>0</v>
      </c>
      <c r="AX265" s="358">
        <v>259</v>
      </c>
      <c r="AY265" s="301" t="s">
        <v>492</v>
      </c>
      <c r="AZ265" s="113" t="s">
        <v>493</v>
      </c>
      <c r="BA265" s="633">
        <f t="shared" si="22"/>
        <v>0</v>
      </c>
      <c r="BC265" s="196">
        <v>259</v>
      </c>
      <c r="BD265" s="73" t="s">
        <v>492</v>
      </c>
      <c r="BE265" s="113" t="s">
        <v>493</v>
      </c>
      <c r="BF265" s="168">
        <v>15630.979999999989</v>
      </c>
      <c r="BG265" s="168">
        <v>63627.600000000006</v>
      </c>
    </row>
    <row r="266" spans="1:59">
      <c r="A266" s="113" t="s">
        <v>383</v>
      </c>
      <c r="B266" s="233" t="s">
        <v>382</v>
      </c>
      <c r="C266" s="233" t="str">
        <f t="shared" si="20"/>
        <v>18402 SOUTH KITSAP SCHOOL DISTRICT</v>
      </c>
      <c r="D266" s="607"/>
      <c r="E266" s="607">
        <v>290963.27</v>
      </c>
      <c r="F266" s="607">
        <v>5354.1</v>
      </c>
      <c r="G266" s="607">
        <v>25604020.710000001</v>
      </c>
      <c r="H266" s="607">
        <v>3770650.06</v>
      </c>
      <c r="I266" s="607">
        <v>476270.73</v>
      </c>
      <c r="J266" s="607">
        <v>2957878.47</v>
      </c>
      <c r="K266" s="607">
        <v>555486.65</v>
      </c>
      <c r="L266" s="607">
        <v>335710.9</v>
      </c>
      <c r="M266" s="607">
        <v>7926611.1200000001</v>
      </c>
      <c r="N266" s="608">
        <v>3.4799999999999998E-2</v>
      </c>
      <c r="O266" s="608">
        <v>0.14829999999999999</v>
      </c>
      <c r="P266" s="607"/>
      <c r="Q266" s="607"/>
      <c r="R266" s="607"/>
      <c r="S266" s="607"/>
      <c r="T266" s="607"/>
      <c r="U266" s="607"/>
      <c r="V266" s="607"/>
      <c r="W266" s="607"/>
      <c r="X266" s="607"/>
      <c r="Y266" s="607">
        <v>7710.45</v>
      </c>
      <c r="Z266" s="607"/>
      <c r="AA266" s="607">
        <v>366087.54</v>
      </c>
      <c r="AB266" s="607">
        <v>3741855.5</v>
      </c>
      <c r="AC266" s="607">
        <v>7767610.0499999998</v>
      </c>
      <c r="AD266" s="607">
        <v>676.82</v>
      </c>
      <c r="AE266" s="607">
        <v>7156083.1799999997</v>
      </c>
      <c r="AF266" s="148"/>
      <c r="AG266" s="148"/>
      <c r="AH266" s="148"/>
      <c r="AI266" s="607">
        <v>335.75</v>
      </c>
      <c r="AJ266" s="607">
        <v>3490379.11</v>
      </c>
      <c r="AK266" s="148"/>
      <c r="AL266" s="148"/>
      <c r="AM266" s="148"/>
      <c r="AN266" s="607"/>
      <c r="AO266" s="607"/>
      <c r="AP266" s="148"/>
      <c r="AQ266" s="168">
        <v>709152.82999999938</v>
      </c>
      <c r="AR266" s="238">
        <v>1102106.7700000003</v>
      </c>
      <c r="AU266" s="633">
        <f t="shared" si="21"/>
        <v>0</v>
      </c>
      <c r="AX266" s="358">
        <v>260</v>
      </c>
      <c r="AY266" s="301" t="s">
        <v>382</v>
      </c>
      <c r="AZ266" s="113" t="s">
        <v>383</v>
      </c>
      <c r="BA266" s="633">
        <f t="shared" si="22"/>
        <v>0</v>
      </c>
      <c r="BC266" s="196">
        <v>260</v>
      </c>
      <c r="BD266" s="73" t="s">
        <v>382</v>
      </c>
      <c r="BE266" s="113" t="s">
        <v>383</v>
      </c>
      <c r="BF266" s="168">
        <v>709152.82999999938</v>
      </c>
      <c r="BG266" s="168">
        <v>941851.97000000009</v>
      </c>
    </row>
    <row r="267" spans="1:59">
      <c r="A267" s="113" t="s">
        <v>327</v>
      </c>
      <c r="B267" s="233" t="s">
        <v>326</v>
      </c>
      <c r="C267" s="233" t="str">
        <f t="shared" si="20"/>
        <v>15206 SOUTH WHIDBEY SCHOOL DISTRICT</v>
      </c>
      <c r="D267" s="607"/>
      <c r="E267" s="607">
        <v>27749.13</v>
      </c>
      <c r="F267" s="607"/>
      <c r="G267" s="607">
        <v>2555784.36</v>
      </c>
      <c r="H267" s="607">
        <v>421117.76</v>
      </c>
      <c r="I267" s="607">
        <v>9821.33</v>
      </c>
      <c r="J267" s="607">
        <v>339409.86</v>
      </c>
      <c r="K267" s="607">
        <v>30692.639999999999</v>
      </c>
      <c r="L267" s="607">
        <v>44897.51</v>
      </c>
      <c r="M267" s="607">
        <v>947481.77</v>
      </c>
      <c r="N267" s="608">
        <v>5.0799999999999998E-2</v>
      </c>
      <c r="O267" s="608">
        <v>0.1981</v>
      </c>
      <c r="P267" s="607"/>
      <c r="Q267" s="607"/>
      <c r="R267" s="607"/>
      <c r="S267" s="607"/>
      <c r="T267" s="607"/>
      <c r="U267" s="607"/>
      <c r="V267" s="607"/>
      <c r="W267" s="607"/>
      <c r="X267" s="607"/>
      <c r="Y267" s="607">
        <v>1057.01</v>
      </c>
      <c r="Z267" s="607"/>
      <c r="AA267" s="607">
        <v>52475.14</v>
      </c>
      <c r="AB267" s="607"/>
      <c r="AC267" s="607">
        <v>713857.2</v>
      </c>
      <c r="AD267" s="607">
        <v>63.27</v>
      </c>
      <c r="AE267" s="607">
        <v>668971.03</v>
      </c>
      <c r="AF267" s="148"/>
      <c r="AG267" s="148"/>
      <c r="AH267" s="148"/>
      <c r="AI267" s="607"/>
      <c r="AJ267" s="607"/>
      <c r="AK267" s="148"/>
      <c r="AL267" s="148"/>
      <c r="AM267" s="148"/>
      <c r="AN267" s="607"/>
      <c r="AO267" s="607"/>
      <c r="AP267" s="148"/>
      <c r="AQ267" s="168">
        <v>0</v>
      </c>
      <c r="AR267" s="238">
        <v>143571.32999999996</v>
      </c>
      <c r="AU267" s="633">
        <f t="shared" si="21"/>
        <v>0</v>
      </c>
      <c r="AX267" s="358">
        <v>261</v>
      </c>
      <c r="AY267" s="301" t="s">
        <v>326</v>
      </c>
      <c r="AZ267" s="113" t="s">
        <v>327</v>
      </c>
      <c r="BA267" s="633">
        <f t="shared" si="22"/>
        <v>0</v>
      </c>
      <c r="BC267" s="196">
        <v>261</v>
      </c>
      <c r="BD267" s="73" t="s">
        <v>326</v>
      </c>
      <c r="BE267" s="113" t="s">
        <v>327</v>
      </c>
      <c r="BF267" s="168">
        <v>0</v>
      </c>
      <c r="BG267" s="168">
        <v>124302.37000000002</v>
      </c>
    </row>
    <row r="268" spans="1:59">
      <c r="A268" s="113" t="s">
        <v>459</v>
      </c>
      <c r="B268" s="233" t="s">
        <v>458</v>
      </c>
      <c r="C268" s="233" t="str">
        <f t="shared" si="20"/>
        <v>23042 SOUTHSIDE SCHOOL DISTRICT</v>
      </c>
      <c r="D268" s="607"/>
      <c r="E268" s="607"/>
      <c r="F268" s="607"/>
      <c r="G268" s="607">
        <v>505836.1</v>
      </c>
      <c r="H268" s="607">
        <v>73525.36</v>
      </c>
      <c r="I268" s="607"/>
      <c r="J268" s="607">
        <v>72951.990000000005</v>
      </c>
      <c r="K268" s="607">
        <v>21147.55</v>
      </c>
      <c r="L268" s="607">
        <v>6631.99</v>
      </c>
      <c r="M268" s="607">
        <v>170249.42</v>
      </c>
      <c r="N268" s="608">
        <v>6.83E-2</v>
      </c>
      <c r="O268" s="608">
        <v>0.2482</v>
      </c>
      <c r="P268" s="607"/>
      <c r="Q268" s="607"/>
      <c r="R268" s="607"/>
      <c r="S268" s="607"/>
      <c r="T268" s="607"/>
      <c r="U268" s="607"/>
      <c r="V268" s="607"/>
      <c r="W268" s="607"/>
      <c r="X268" s="607"/>
      <c r="Y268" s="607">
        <v>174.53</v>
      </c>
      <c r="Z268" s="607"/>
      <c r="AA268" s="607"/>
      <c r="AB268" s="607"/>
      <c r="AC268" s="607"/>
      <c r="AD268" s="607"/>
      <c r="AE268" s="607"/>
      <c r="AF268" s="148"/>
      <c r="AG268" s="148"/>
      <c r="AH268" s="148"/>
      <c r="AI268" s="607"/>
      <c r="AJ268" s="607"/>
      <c r="AK268" s="148"/>
      <c r="AL268" s="148"/>
      <c r="AM268" s="148"/>
      <c r="AN268" s="607"/>
      <c r="AO268" s="607"/>
      <c r="AP268" s="148"/>
      <c r="AQ268" s="168">
        <v>33058.639999999999</v>
      </c>
      <c r="AR268" s="238">
        <v>23918.239999999998</v>
      </c>
      <c r="AU268" s="633">
        <f t="shared" si="21"/>
        <v>0</v>
      </c>
      <c r="AX268" s="358">
        <v>262</v>
      </c>
      <c r="AY268" s="301" t="s">
        <v>458</v>
      </c>
      <c r="AZ268" s="113" t="s">
        <v>459</v>
      </c>
      <c r="BA268" s="633">
        <f t="shared" si="22"/>
        <v>0</v>
      </c>
      <c r="BC268" s="196">
        <v>262</v>
      </c>
      <c r="BD268" s="73" t="s">
        <v>458</v>
      </c>
      <c r="BE268" s="113" t="s">
        <v>459</v>
      </c>
      <c r="BF268" s="168">
        <v>33058.639999999999</v>
      </c>
      <c r="BG268" s="168">
        <v>19559.729999999996</v>
      </c>
    </row>
    <row r="269" spans="1:59">
      <c r="A269" s="113" t="s">
        <v>593</v>
      </c>
      <c r="B269" s="233" t="s">
        <v>592</v>
      </c>
      <c r="C269" s="233" t="str">
        <f t="shared" si="20"/>
        <v>32081 SPOKANE SCHOOL DISTRICT</v>
      </c>
      <c r="D269" s="607"/>
      <c r="E269" s="607">
        <v>1016672.17</v>
      </c>
      <c r="F269" s="607">
        <v>431485.57</v>
      </c>
      <c r="G269" s="607">
        <v>68054224.569999993</v>
      </c>
      <c r="H269" s="607">
        <v>11985602.33</v>
      </c>
      <c r="I269" s="607">
        <v>5876835.75</v>
      </c>
      <c r="J269" s="607">
        <v>12171819.07</v>
      </c>
      <c r="K269" s="607">
        <v>4797113.46</v>
      </c>
      <c r="L269" s="607">
        <v>903057.25</v>
      </c>
      <c r="M269" s="607">
        <v>15921496.529999999</v>
      </c>
      <c r="N269" s="608">
        <v>2.9899999999999999E-2</v>
      </c>
      <c r="O269" s="608">
        <v>0.12959999999999999</v>
      </c>
      <c r="P269" s="607"/>
      <c r="Q269" s="607"/>
      <c r="R269" s="607"/>
      <c r="S269" s="607"/>
      <c r="T269" s="607"/>
      <c r="U269" s="607"/>
      <c r="V269" s="607"/>
      <c r="W269" s="607"/>
      <c r="X269" s="607"/>
      <c r="Y269" s="607">
        <v>20272.5</v>
      </c>
      <c r="Z269" s="607">
        <v>182388.31</v>
      </c>
      <c r="AA269" s="607"/>
      <c r="AB269" s="607">
        <v>2558581.04</v>
      </c>
      <c r="AC269" s="607">
        <v>11176865.73</v>
      </c>
      <c r="AD269" s="607">
        <v>1096.45</v>
      </c>
      <c r="AE269" s="607">
        <v>10327734.92</v>
      </c>
      <c r="AF269" s="148"/>
      <c r="AG269" s="148"/>
      <c r="AH269" s="148"/>
      <c r="AI269" s="607">
        <v>256.72000000000003</v>
      </c>
      <c r="AJ269" s="607">
        <v>2371706.35</v>
      </c>
      <c r="AK269" s="148"/>
      <c r="AL269" s="148"/>
      <c r="AM269" s="148"/>
      <c r="AN269" s="607"/>
      <c r="AO269" s="607"/>
      <c r="AP269" s="148"/>
      <c r="AQ269" s="168">
        <v>2174.1900000008754</v>
      </c>
      <c r="AR269" s="238">
        <v>3265251.8800000004</v>
      </c>
      <c r="AU269" s="633">
        <f t="shared" si="21"/>
        <v>0</v>
      </c>
      <c r="AX269" s="358">
        <v>263</v>
      </c>
      <c r="AY269" s="301" t="s">
        <v>592</v>
      </c>
      <c r="AZ269" s="113" t="s">
        <v>593</v>
      </c>
      <c r="BA269" s="633">
        <f t="shared" si="22"/>
        <v>0</v>
      </c>
      <c r="BC269" s="196">
        <v>263</v>
      </c>
      <c r="BD269" s="73" t="s">
        <v>592</v>
      </c>
      <c r="BE269" s="113" t="s">
        <v>593</v>
      </c>
      <c r="BF269" s="168">
        <v>2174.1900000008754</v>
      </c>
      <c r="BG269" s="168">
        <v>2680319.12</v>
      </c>
    </row>
    <row r="270" spans="1:59">
      <c r="A270" s="113" t="s">
        <v>1417</v>
      </c>
      <c r="B270" s="233" t="s">
        <v>1418</v>
      </c>
      <c r="C270" s="233" t="str">
        <f>CONCATENATE(B270," ",A270," CHARTER")</f>
        <v>32901 SPOKANE INT'L CHARTER CHARTER</v>
      </c>
      <c r="D270" s="607"/>
      <c r="E270" s="607"/>
      <c r="F270" s="607"/>
      <c r="G270" s="607">
        <v>1503573.48</v>
      </c>
      <c r="H270" s="607">
        <v>226378.62</v>
      </c>
      <c r="I270" s="607">
        <v>267822.25</v>
      </c>
      <c r="J270" s="607">
        <v>295787.15999999997</v>
      </c>
      <c r="K270" s="607">
        <v>122742.96</v>
      </c>
      <c r="L270" s="607">
        <v>27080.67</v>
      </c>
      <c r="M270" s="607">
        <v>525220.6</v>
      </c>
      <c r="N270" s="608">
        <v>5.8599999999999999E-2</v>
      </c>
      <c r="O270" s="608">
        <v>0.44259999999999999</v>
      </c>
      <c r="P270" s="607"/>
      <c r="Q270" s="607"/>
      <c r="R270" s="607"/>
      <c r="S270" s="607"/>
      <c r="T270" s="607"/>
      <c r="U270" s="607"/>
      <c r="V270" s="607"/>
      <c r="W270" s="607"/>
      <c r="X270" s="607"/>
      <c r="Y270" s="607"/>
      <c r="Z270" s="607"/>
      <c r="AA270" s="607"/>
      <c r="AB270" s="607"/>
      <c r="AC270" s="607">
        <v>8715.7900000000009</v>
      </c>
      <c r="AD270" s="607"/>
      <c r="AE270" s="607"/>
      <c r="AF270" s="148"/>
      <c r="AG270" s="148"/>
      <c r="AH270" s="148"/>
      <c r="AI270" s="607"/>
      <c r="AJ270" s="607"/>
      <c r="AK270" s="148"/>
      <c r="AL270" s="148"/>
      <c r="AM270" s="148"/>
      <c r="AN270" s="607"/>
      <c r="AO270" s="607"/>
      <c r="AP270" s="148"/>
      <c r="AQ270" s="168">
        <v>0</v>
      </c>
      <c r="AR270" s="238">
        <v>107551.06999999999</v>
      </c>
      <c r="AU270" s="633">
        <f t="shared" si="21"/>
        <v>0</v>
      </c>
      <c r="AX270" s="358">
        <v>264</v>
      </c>
      <c r="AY270" s="311" t="s">
        <v>1418</v>
      </c>
      <c r="AZ270" s="113" t="s">
        <v>1417</v>
      </c>
      <c r="BA270" s="633">
        <f t="shared" si="22"/>
        <v>0</v>
      </c>
      <c r="BC270" s="196">
        <v>264</v>
      </c>
      <c r="BD270" s="73" t="s">
        <v>1418</v>
      </c>
      <c r="BE270" s="113" t="s">
        <v>1417</v>
      </c>
      <c r="BF270" s="168">
        <v>0</v>
      </c>
      <c r="BG270" s="168">
        <v>94561.36</v>
      </c>
    </row>
    <row r="271" spans="1:59">
      <c r="A271" s="139" t="s">
        <v>443</v>
      </c>
      <c r="B271" s="233" t="s">
        <v>442</v>
      </c>
      <c r="C271" s="233" t="str">
        <f t="shared" ref="C271:C281" si="23">CONCATENATE(B271," ",A271," SCHOOL DISTRICT")</f>
        <v>22008 SPRAGUE SCHOOL DISTRICT</v>
      </c>
      <c r="D271" s="607"/>
      <c r="E271" s="607">
        <v>939.45</v>
      </c>
      <c r="F271" s="607"/>
      <c r="G271" s="607">
        <v>274331.26</v>
      </c>
      <c r="H271" s="607">
        <v>38399.54</v>
      </c>
      <c r="I271" s="607">
        <v>15364.13</v>
      </c>
      <c r="J271" s="607">
        <v>20559.2</v>
      </c>
      <c r="K271" s="607"/>
      <c r="L271" s="607">
        <v>1658</v>
      </c>
      <c r="M271" s="607">
        <v>165661.04999999999</v>
      </c>
      <c r="N271" s="608">
        <v>5.2400000000000002E-2</v>
      </c>
      <c r="O271" s="608">
        <v>0.28639999999999999</v>
      </c>
      <c r="P271" s="607"/>
      <c r="Q271" s="607"/>
      <c r="R271" s="607"/>
      <c r="S271" s="607"/>
      <c r="T271" s="607"/>
      <c r="U271" s="607"/>
      <c r="V271" s="607"/>
      <c r="W271" s="607"/>
      <c r="X271" s="607"/>
      <c r="Y271" s="607"/>
      <c r="Z271" s="607"/>
      <c r="AA271" s="607"/>
      <c r="AB271" s="607"/>
      <c r="AC271" s="607">
        <v>39409.08</v>
      </c>
      <c r="AD271" s="607">
        <v>3.99</v>
      </c>
      <c r="AE271" s="607">
        <v>37745.54</v>
      </c>
      <c r="AF271" s="148"/>
      <c r="AG271" s="148"/>
      <c r="AH271" s="148"/>
      <c r="AI271" s="607"/>
      <c r="AJ271" s="607"/>
      <c r="AK271" s="148"/>
      <c r="AL271" s="148"/>
      <c r="AM271" s="148"/>
      <c r="AN271" s="607">
        <v>0.28999999999999998</v>
      </c>
      <c r="AO271" s="607"/>
      <c r="AP271" s="148"/>
      <c r="AQ271" s="168">
        <v>12860.240000000005</v>
      </c>
      <c r="AR271" s="238">
        <v>21081.18</v>
      </c>
      <c r="AU271" s="633">
        <f t="shared" si="21"/>
        <v>0</v>
      </c>
      <c r="AX271" s="358">
        <v>265</v>
      </c>
      <c r="AY271" s="301" t="s">
        <v>442</v>
      </c>
      <c r="AZ271" s="139" t="s">
        <v>443</v>
      </c>
      <c r="BA271" s="633">
        <f t="shared" si="22"/>
        <v>0</v>
      </c>
      <c r="BC271" s="196">
        <v>265</v>
      </c>
      <c r="BD271" s="73" t="s">
        <v>442</v>
      </c>
      <c r="BE271" s="139" t="s">
        <v>443</v>
      </c>
      <c r="BF271" s="168">
        <v>12860.240000000005</v>
      </c>
      <c r="BG271" s="168">
        <v>18787.91</v>
      </c>
    </row>
    <row r="272" spans="1:59">
      <c r="A272" s="139" t="s">
        <v>708</v>
      </c>
      <c r="B272" s="233" t="s">
        <v>707</v>
      </c>
      <c r="C272" s="233" t="str">
        <f t="shared" si="23"/>
        <v>38322 ST JOHN SCHOOL DISTRICT</v>
      </c>
      <c r="D272" s="607"/>
      <c r="E272" s="607">
        <v>824.83</v>
      </c>
      <c r="F272" s="607"/>
      <c r="G272" s="607">
        <v>300262.83</v>
      </c>
      <c r="H272" s="607">
        <v>45997.41</v>
      </c>
      <c r="I272" s="607">
        <v>13595.6</v>
      </c>
      <c r="J272" s="607">
        <v>53277.06</v>
      </c>
      <c r="K272" s="607"/>
      <c r="L272" s="607">
        <v>4531.8599999999997</v>
      </c>
      <c r="M272" s="607">
        <v>442058.31</v>
      </c>
      <c r="N272" s="608">
        <v>0.12280000000000001</v>
      </c>
      <c r="O272" s="608">
        <v>0.31369999999999998</v>
      </c>
      <c r="P272" s="607"/>
      <c r="Q272" s="607"/>
      <c r="R272" s="607"/>
      <c r="S272" s="607"/>
      <c r="T272" s="607"/>
      <c r="U272" s="607"/>
      <c r="V272" s="607"/>
      <c r="W272" s="607"/>
      <c r="X272" s="607"/>
      <c r="Y272" s="607">
        <v>117.99</v>
      </c>
      <c r="Z272" s="607"/>
      <c r="AA272" s="607"/>
      <c r="AB272" s="607"/>
      <c r="AC272" s="607">
        <v>71839.399999999994</v>
      </c>
      <c r="AD272" s="607">
        <v>7.28</v>
      </c>
      <c r="AE272" s="607">
        <v>68598.460000000006</v>
      </c>
      <c r="AF272" s="148"/>
      <c r="AG272" s="148"/>
      <c r="AH272" s="148"/>
      <c r="AI272" s="607"/>
      <c r="AJ272" s="607"/>
      <c r="AK272" s="148"/>
      <c r="AL272" s="148"/>
      <c r="AM272" s="148"/>
      <c r="AN272" s="607"/>
      <c r="AO272" s="607"/>
      <c r="AP272" s="148"/>
      <c r="AQ272" s="168">
        <v>38802.020000000004</v>
      </c>
      <c r="AR272" s="238">
        <v>27643.93</v>
      </c>
      <c r="AU272" s="633">
        <f t="shared" ref="AU272:AU303" si="24">+B272-AY272</f>
        <v>0</v>
      </c>
      <c r="AX272" s="358">
        <v>266</v>
      </c>
      <c r="AY272" s="301" t="s">
        <v>707</v>
      </c>
      <c r="AZ272" s="139" t="s">
        <v>708</v>
      </c>
      <c r="BA272" s="633">
        <f t="shared" si="22"/>
        <v>0</v>
      </c>
      <c r="BC272" s="196">
        <v>266</v>
      </c>
      <c r="BD272" s="73" t="s">
        <v>707</v>
      </c>
      <c r="BE272" s="139" t="s">
        <v>708</v>
      </c>
      <c r="BF272" s="168">
        <v>38802.020000000004</v>
      </c>
      <c r="BG272" s="168">
        <v>25151.449999999997</v>
      </c>
    </row>
    <row r="273" spans="1:59">
      <c r="A273" s="139" t="s">
        <v>591</v>
      </c>
      <c r="B273" s="233" t="s">
        <v>590</v>
      </c>
      <c r="C273" s="233" t="str">
        <f t="shared" si="23"/>
        <v>31401 STANWOOD SCHOOL DISTRICT</v>
      </c>
      <c r="D273" s="607"/>
      <c r="E273" s="607">
        <v>62870.239999999998</v>
      </c>
      <c r="F273" s="607"/>
      <c r="G273" s="607">
        <v>13792165.689999999</v>
      </c>
      <c r="H273" s="607">
        <v>2000797.74</v>
      </c>
      <c r="I273" s="607"/>
      <c r="J273" s="607">
        <v>1204378.5</v>
      </c>
      <c r="K273" s="607">
        <v>351519.89</v>
      </c>
      <c r="L273" s="607">
        <v>172125.86</v>
      </c>
      <c r="M273" s="607">
        <v>4102879.82</v>
      </c>
      <c r="N273" s="608">
        <v>4.6800000000000001E-2</v>
      </c>
      <c r="O273" s="608">
        <v>0.15049999999999999</v>
      </c>
      <c r="P273" s="607"/>
      <c r="Q273" s="607"/>
      <c r="R273" s="607"/>
      <c r="S273" s="607"/>
      <c r="T273" s="607"/>
      <c r="U273" s="607"/>
      <c r="V273" s="607"/>
      <c r="W273" s="607"/>
      <c r="X273" s="607"/>
      <c r="Y273" s="607">
        <v>4089.57</v>
      </c>
      <c r="Z273" s="607"/>
      <c r="AA273" s="607">
        <v>129632.27</v>
      </c>
      <c r="AB273" s="607">
        <v>832088.88</v>
      </c>
      <c r="AC273" s="607">
        <v>4179847.72</v>
      </c>
      <c r="AD273" s="607">
        <v>378.98</v>
      </c>
      <c r="AE273" s="607">
        <v>3931519.66</v>
      </c>
      <c r="AF273" s="148"/>
      <c r="AG273" s="148"/>
      <c r="AH273" s="148"/>
      <c r="AI273" s="607">
        <v>77.040000000000006</v>
      </c>
      <c r="AJ273" s="607">
        <v>785366.79</v>
      </c>
      <c r="AK273" s="148"/>
      <c r="AL273" s="148"/>
      <c r="AM273" s="148"/>
      <c r="AN273" s="607"/>
      <c r="AO273" s="607"/>
      <c r="AP273" s="148"/>
      <c r="AQ273" s="168">
        <v>13990.359999999986</v>
      </c>
      <c r="AR273" s="238">
        <v>565945.02</v>
      </c>
      <c r="AU273" s="633">
        <f t="shared" si="24"/>
        <v>0</v>
      </c>
      <c r="AX273" s="358">
        <v>267</v>
      </c>
      <c r="AY273" s="301" t="s">
        <v>590</v>
      </c>
      <c r="AZ273" s="139" t="s">
        <v>591</v>
      </c>
      <c r="BA273" s="633">
        <f t="shared" si="22"/>
        <v>0</v>
      </c>
      <c r="BC273" s="196">
        <v>267</v>
      </c>
      <c r="BD273" s="73" t="s">
        <v>590</v>
      </c>
      <c r="BE273" s="139" t="s">
        <v>591</v>
      </c>
      <c r="BF273" s="168">
        <v>13990.359999999986</v>
      </c>
      <c r="BG273" s="168">
        <v>482139.11000000004</v>
      </c>
    </row>
    <row r="274" spans="1:59">
      <c r="A274" s="139" t="s">
        <v>272</v>
      </c>
      <c r="B274" s="233" t="s">
        <v>271</v>
      </c>
      <c r="C274" s="233" t="str">
        <f t="shared" si="23"/>
        <v>11054 STAR SCHOOL DISTRICT</v>
      </c>
      <c r="D274" s="607"/>
      <c r="E274" s="607"/>
      <c r="F274" s="607"/>
      <c r="G274" s="607">
        <v>8018.13</v>
      </c>
      <c r="H274" s="607">
        <v>1343.78</v>
      </c>
      <c r="I274" s="607"/>
      <c r="J274" s="607"/>
      <c r="K274" s="607"/>
      <c r="L274" s="607">
        <v>331.6</v>
      </c>
      <c r="M274" s="607">
        <v>152253.19</v>
      </c>
      <c r="N274" s="608">
        <v>5.21E-2</v>
      </c>
      <c r="O274" s="608">
        <v>0.29580000000000001</v>
      </c>
      <c r="P274" s="607"/>
      <c r="Q274" s="607"/>
      <c r="R274" s="607"/>
      <c r="S274" s="607"/>
      <c r="T274" s="607"/>
      <c r="U274" s="607"/>
      <c r="V274" s="607"/>
      <c r="W274" s="607"/>
      <c r="X274" s="607"/>
      <c r="Y274" s="607"/>
      <c r="Z274" s="607"/>
      <c r="AA274" s="607"/>
      <c r="AB274" s="607"/>
      <c r="AC274" s="607"/>
      <c r="AD274" s="607"/>
      <c r="AE274" s="607"/>
      <c r="AF274" s="148"/>
      <c r="AG274" s="148"/>
      <c r="AH274" s="148"/>
      <c r="AI274" s="607"/>
      <c r="AJ274" s="607"/>
      <c r="AK274" s="148"/>
      <c r="AL274" s="148"/>
      <c r="AM274" s="148"/>
      <c r="AN274" s="607"/>
      <c r="AO274" s="607"/>
      <c r="AP274" s="148"/>
      <c r="AQ274" s="168">
        <v>363.19000000000005</v>
      </c>
      <c r="AR274" s="238">
        <v>3162.3900000000003</v>
      </c>
      <c r="AU274" s="633">
        <f t="shared" si="24"/>
        <v>0</v>
      </c>
      <c r="AX274" s="358">
        <v>268</v>
      </c>
      <c r="AY274" s="301" t="s">
        <v>271</v>
      </c>
      <c r="AZ274" s="139" t="s">
        <v>272</v>
      </c>
      <c r="BA274" s="633">
        <f t="shared" si="22"/>
        <v>0</v>
      </c>
      <c r="BC274" s="196">
        <v>268</v>
      </c>
      <c r="BD274" s="73" t="s">
        <v>271</v>
      </c>
      <c r="BE274" s="139" t="s">
        <v>272</v>
      </c>
      <c r="BF274" s="168">
        <v>363.19000000000005</v>
      </c>
      <c r="BG274" s="168">
        <v>3182.9</v>
      </c>
    </row>
    <row r="275" spans="1:59">
      <c r="A275" s="139" t="s">
        <v>232</v>
      </c>
      <c r="B275" s="233" t="s">
        <v>231</v>
      </c>
      <c r="C275" s="233" t="str">
        <f t="shared" si="23"/>
        <v>07035 STARBUCK SCHOOL DISTRICT</v>
      </c>
      <c r="D275" s="607">
        <v>97165.58</v>
      </c>
      <c r="E275" s="607">
        <v>39510.629999999997</v>
      </c>
      <c r="F275" s="607">
        <v>779.2</v>
      </c>
      <c r="G275" s="607">
        <v>1415844.49</v>
      </c>
      <c r="H275" s="607">
        <v>290735.01</v>
      </c>
      <c r="I275" s="607">
        <v>7958.4</v>
      </c>
      <c r="J275" s="607">
        <v>440475.29</v>
      </c>
      <c r="K275" s="607"/>
      <c r="L275" s="607"/>
      <c r="M275" s="607">
        <v>80753.91</v>
      </c>
      <c r="N275" s="608">
        <v>7.4300000000000005E-2</v>
      </c>
      <c r="O275" s="608">
        <v>5.7700000000000001E-2</v>
      </c>
      <c r="P275" s="607"/>
      <c r="Q275" s="607"/>
      <c r="R275" s="607"/>
      <c r="S275" s="607"/>
      <c r="T275" s="607"/>
      <c r="U275" s="607"/>
      <c r="V275" s="607"/>
      <c r="W275" s="607"/>
      <c r="X275" s="607"/>
      <c r="Y275" s="607">
        <v>26.22</v>
      </c>
      <c r="Z275" s="607"/>
      <c r="AA275" s="607"/>
      <c r="AB275" s="607"/>
      <c r="AC275" s="607"/>
      <c r="AD275" s="607"/>
      <c r="AE275" s="607"/>
      <c r="AF275" s="148"/>
      <c r="AG275" s="148"/>
      <c r="AH275" s="148"/>
      <c r="AI275" s="607"/>
      <c r="AJ275" s="607"/>
      <c r="AK275" s="148"/>
      <c r="AL275" s="148"/>
      <c r="AM275" s="148"/>
      <c r="AN275" s="607"/>
      <c r="AO275" s="607"/>
      <c r="AP275" s="148"/>
      <c r="AQ275" s="168">
        <v>48281.990000000005</v>
      </c>
      <c r="AR275" s="238">
        <v>20775.519999999997</v>
      </c>
      <c r="AU275" s="633">
        <f t="shared" si="24"/>
        <v>0</v>
      </c>
      <c r="AX275" s="358">
        <v>269</v>
      </c>
      <c r="AY275" s="301" t="s">
        <v>231</v>
      </c>
      <c r="AZ275" s="139" t="s">
        <v>232</v>
      </c>
      <c r="BA275" s="633">
        <f t="shared" si="22"/>
        <v>0</v>
      </c>
      <c r="BC275" s="196">
        <v>269</v>
      </c>
      <c r="BD275" s="73" t="s">
        <v>231</v>
      </c>
      <c r="BE275" s="139" t="s">
        <v>232</v>
      </c>
      <c r="BF275" s="168">
        <v>48281.990000000005</v>
      </c>
      <c r="BG275" s="168">
        <v>9386.5600000000013</v>
      </c>
    </row>
    <row r="276" spans="1:59">
      <c r="A276" s="139" t="s">
        <v>192</v>
      </c>
      <c r="B276" s="233" t="s">
        <v>191</v>
      </c>
      <c r="C276" s="233" t="str">
        <f t="shared" si="23"/>
        <v>04069 STEHEKIN SCHOOL DISTRICT</v>
      </c>
      <c r="D276" s="607"/>
      <c r="E276" s="607"/>
      <c r="F276" s="607"/>
      <c r="G276" s="607"/>
      <c r="H276" s="607"/>
      <c r="I276" s="607"/>
      <c r="J276" s="607"/>
      <c r="K276" s="607"/>
      <c r="L276" s="607"/>
      <c r="M276" s="607"/>
      <c r="N276" s="608">
        <v>0.1666</v>
      </c>
      <c r="O276" s="608">
        <v>0.40450000000000003</v>
      </c>
      <c r="P276" s="607"/>
      <c r="Q276" s="607"/>
      <c r="R276" s="607"/>
      <c r="S276" s="607"/>
      <c r="T276" s="607"/>
      <c r="U276" s="607"/>
      <c r="V276" s="607"/>
      <c r="W276" s="607"/>
      <c r="X276" s="607"/>
      <c r="Y276" s="607"/>
      <c r="Z276" s="607"/>
      <c r="AA276" s="607"/>
      <c r="AB276" s="607"/>
      <c r="AC276" s="607"/>
      <c r="AD276" s="607"/>
      <c r="AE276" s="607"/>
      <c r="AF276" s="148"/>
      <c r="AG276" s="148"/>
      <c r="AH276" s="148"/>
      <c r="AI276" s="607"/>
      <c r="AJ276" s="607"/>
      <c r="AK276" s="148"/>
      <c r="AL276" s="148"/>
      <c r="AM276" s="148"/>
      <c r="AN276" s="607"/>
      <c r="AO276" s="607"/>
      <c r="AP276" s="148"/>
      <c r="AQ276" s="168">
        <v>1.8189894035458565E-12</v>
      </c>
      <c r="AR276" s="238">
        <v>3550.5</v>
      </c>
      <c r="AU276" s="633">
        <f t="shared" si="24"/>
        <v>0</v>
      </c>
      <c r="AX276" s="358">
        <v>270</v>
      </c>
      <c r="AY276" s="301" t="s">
        <v>191</v>
      </c>
      <c r="AZ276" s="139" t="s">
        <v>192</v>
      </c>
      <c r="BA276" s="633">
        <f t="shared" si="22"/>
        <v>0</v>
      </c>
      <c r="BC276" s="196">
        <v>270</v>
      </c>
      <c r="BD276" s="73" t="s">
        <v>191</v>
      </c>
      <c r="BE276" s="139" t="s">
        <v>192</v>
      </c>
      <c r="BF276" s="168">
        <v>1.8189894035458565E-12</v>
      </c>
      <c r="BG276" s="168">
        <v>3645.45</v>
      </c>
    </row>
    <row r="277" spans="1:59">
      <c r="A277" s="139" t="s">
        <v>506</v>
      </c>
      <c r="B277" s="233" t="s">
        <v>505</v>
      </c>
      <c r="C277" s="233" t="str">
        <f t="shared" si="23"/>
        <v>27001 STEILACOOM HIST. SCHOOL DISTRICT</v>
      </c>
      <c r="D277" s="607"/>
      <c r="E277" s="607"/>
      <c r="F277" s="607"/>
      <c r="G277" s="607">
        <v>6647715.9299999997</v>
      </c>
      <c r="H277" s="607">
        <v>1028643.49</v>
      </c>
      <c r="I277" s="607">
        <v>6391.29</v>
      </c>
      <c r="J277" s="607">
        <v>628787.75</v>
      </c>
      <c r="K277" s="607">
        <v>222671.35999999999</v>
      </c>
      <c r="L277" s="607">
        <v>99007.05</v>
      </c>
      <c r="M277" s="607">
        <v>3096122.31</v>
      </c>
      <c r="N277" s="608">
        <v>6.5299999999999997E-2</v>
      </c>
      <c r="O277" s="608">
        <v>0.1648</v>
      </c>
      <c r="P277" s="607"/>
      <c r="Q277" s="607"/>
      <c r="R277" s="607"/>
      <c r="S277" s="607"/>
      <c r="T277" s="607"/>
      <c r="U277" s="607"/>
      <c r="V277" s="607"/>
      <c r="W277" s="607"/>
      <c r="X277" s="607"/>
      <c r="Y277" s="607">
        <v>2523.7199999999998</v>
      </c>
      <c r="Z277" s="607">
        <v>12028.1</v>
      </c>
      <c r="AA277" s="607">
        <v>228533.96</v>
      </c>
      <c r="AB277" s="607">
        <v>346739.31</v>
      </c>
      <c r="AC277" s="607">
        <v>2471656.85</v>
      </c>
      <c r="AD277" s="607">
        <v>233.59</v>
      </c>
      <c r="AE277" s="607">
        <v>2290122.9900000002</v>
      </c>
      <c r="AF277" s="148"/>
      <c r="AG277" s="148"/>
      <c r="AH277" s="148"/>
      <c r="AI277" s="607">
        <v>34.11</v>
      </c>
      <c r="AJ277" s="607">
        <v>328277.59000000003</v>
      </c>
      <c r="AK277" s="148"/>
      <c r="AL277" s="148"/>
      <c r="AM277" s="148"/>
      <c r="AN277" s="607"/>
      <c r="AO277" s="607"/>
      <c r="AP277" s="148"/>
      <c r="AQ277" s="168">
        <v>0</v>
      </c>
      <c r="AR277" s="238">
        <v>328647.15000000002</v>
      </c>
      <c r="AU277" s="633">
        <f t="shared" si="24"/>
        <v>0</v>
      </c>
      <c r="AX277" s="358">
        <v>271</v>
      </c>
      <c r="AY277" s="301" t="s">
        <v>505</v>
      </c>
      <c r="AZ277" s="139" t="s">
        <v>506</v>
      </c>
      <c r="BA277" s="633">
        <f t="shared" si="22"/>
        <v>0</v>
      </c>
      <c r="BC277" s="196">
        <v>271</v>
      </c>
      <c r="BD277" s="73" t="s">
        <v>505</v>
      </c>
      <c r="BE277" s="139" t="s">
        <v>506</v>
      </c>
      <c r="BF277" s="168">
        <v>0</v>
      </c>
      <c r="BG277" s="168">
        <v>282222.19</v>
      </c>
    </row>
    <row r="278" spans="1:59">
      <c r="A278" s="139" t="s">
        <v>700</v>
      </c>
      <c r="B278" s="233" t="s">
        <v>699</v>
      </c>
      <c r="C278" s="233" t="str">
        <f t="shared" si="23"/>
        <v>38304 STEPTOE SCHOOL DISTRICT</v>
      </c>
      <c r="D278" s="607"/>
      <c r="E278" s="607"/>
      <c r="F278" s="607"/>
      <c r="G278" s="607">
        <v>111253.65</v>
      </c>
      <c r="H278" s="607">
        <v>16512.41</v>
      </c>
      <c r="I278" s="607"/>
      <c r="J278" s="607"/>
      <c r="K278" s="607"/>
      <c r="L278" s="607"/>
      <c r="M278" s="607">
        <v>102172.97</v>
      </c>
      <c r="N278" s="608">
        <v>9.9599999999999994E-2</v>
      </c>
      <c r="O278" s="608">
        <v>0.3478</v>
      </c>
      <c r="P278" s="607"/>
      <c r="Q278" s="607"/>
      <c r="R278" s="607"/>
      <c r="S278" s="607"/>
      <c r="T278" s="607"/>
      <c r="U278" s="607"/>
      <c r="V278" s="607"/>
      <c r="W278" s="607"/>
      <c r="X278" s="607"/>
      <c r="Y278" s="607">
        <v>39.33</v>
      </c>
      <c r="Z278" s="607"/>
      <c r="AA278" s="607"/>
      <c r="AB278" s="607"/>
      <c r="AC278" s="607"/>
      <c r="AD278" s="607"/>
      <c r="AE278" s="607"/>
      <c r="AF278" s="148"/>
      <c r="AG278" s="148"/>
      <c r="AH278" s="148"/>
      <c r="AI278" s="607"/>
      <c r="AJ278" s="607"/>
      <c r="AK278" s="148"/>
      <c r="AL278" s="148"/>
      <c r="AM278" s="148"/>
      <c r="AN278" s="607"/>
      <c r="AO278" s="607"/>
      <c r="AP278" s="148"/>
      <c r="AQ278" s="168">
        <v>10108.430000000002</v>
      </c>
      <c r="AR278" s="238">
        <v>7114.86</v>
      </c>
      <c r="AU278" s="633">
        <f t="shared" si="24"/>
        <v>0</v>
      </c>
      <c r="AX278" s="358">
        <v>272</v>
      </c>
      <c r="AY278" s="301" t="s">
        <v>699</v>
      </c>
      <c r="AZ278" s="139" t="s">
        <v>700</v>
      </c>
      <c r="BA278" s="633">
        <f t="shared" si="22"/>
        <v>0</v>
      </c>
      <c r="BC278" s="196">
        <v>272</v>
      </c>
      <c r="BD278" s="73" t="s">
        <v>699</v>
      </c>
      <c r="BE278" s="139" t="s">
        <v>700</v>
      </c>
      <c r="BF278" s="168">
        <v>10108.430000000002</v>
      </c>
      <c r="BG278" s="168">
        <v>6212.33</v>
      </c>
    </row>
    <row r="279" spans="1:59">
      <c r="A279" s="139" t="s">
        <v>563</v>
      </c>
      <c r="B279" s="233" t="s">
        <v>562</v>
      </c>
      <c r="C279" s="233" t="str">
        <f t="shared" si="23"/>
        <v>30303 STEVENSON-CARSON SCHOOL DISTRICT</v>
      </c>
      <c r="D279" s="607"/>
      <c r="E279" s="607">
        <v>13040.41</v>
      </c>
      <c r="F279" s="607">
        <v>16622.38</v>
      </c>
      <c r="G279" s="607"/>
      <c r="H279" s="607">
        <v>248417.47</v>
      </c>
      <c r="I279" s="607">
        <v>237646.64</v>
      </c>
      <c r="J279" s="607">
        <v>269038.12</v>
      </c>
      <c r="K279" s="607">
        <v>25507.88</v>
      </c>
      <c r="L279" s="607">
        <v>20669.73</v>
      </c>
      <c r="M279" s="607">
        <v>769844.78</v>
      </c>
      <c r="N279" s="608">
        <v>1.4200000000000001E-2</v>
      </c>
      <c r="O279" s="608">
        <v>0.20169999999999999</v>
      </c>
      <c r="P279" s="607"/>
      <c r="Q279" s="607"/>
      <c r="R279" s="607"/>
      <c r="S279" s="607"/>
      <c r="T279" s="607"/>
      <c r="U279" s="607"/>
      <c r="V279" s="607"/>
      <c r="W279" s="607"/>
      <c r="X279" s="607"/>
      <c r="Y279" s="607"/>
      <c r="Z279" s="607"/>
      <c r="AA279" s="607"/>
      <c r="AB279" s="607">
        <v>97718.67</v>
      </c>
      <c r="AC279" s="607">
        <v>511220.53</v>
      </c>
      <c r="AD279" s="607">
        <v>50.44</v>
      </c>
      <c r="AE279" s="607">
        <v>475037.05</v>
      </c>
      <c r="AF279" s="148"/>
      <c r="AG279" s="148"/>
      <c r="AH279" s="148"/>
      <c r="AI279" s="607">
        <v>9.64</v>
      </c>
      <c r="AJ279" s="607">
        <v>89013.39</v>
      </c>
      <c r="AK279" s="148"/>
      <c r="AL279" s="148"/>
      <c r="AM279" s="148"/>
      <c r="AN279" s="607"/>
      <c r="AO279" s="607">
        <v>511.94</v>
      </c>
      <c r="AP279" s="148"/>
      <c r="AQ279" s="168">
        <v>144573.28999999992</v>
      </c>
      <c r="AR279" s="238">
        <v>64843.360000000008</v>
      </c>
      <c r="AU279" s="633">
        <f t="shared" si="24"/>
        <v>0</v>
      </c>
      <c r="AX279" s="358">
        <v>273</v>
      </c>
      <c r="AY279" s="301" t="s">
        <v>562</v>
      </c>
      <c r="AZ279" s="139" t="s">
        <v>563</v>
      </c>
      <c r="BA279" s="633">
        <f t="shared" si="22"/>
        <v>0</v>
      </c>
      <c r="BC279" s="196">
        <v>273</v>
      </c>
      <c r="BD279" s="73" t="s">
        <v>562</v>
      </c>
      <c r="BE279" s="139" t="s">
        <v>563</v>
      </c>
      <c r="BF279" s="168">
        <v>144573.28999999992</v>
      </c>
      <c r="BG279" s="168">
        <v>64929.640000000007</v>
      </c>
    </row>
    <row r="280" spans="1:59">
      <c r="A280" s="139" t="s">
        <v>585</v>
      </c>
      <c r="B280" s="233" t="s">
        <v>584</v>
      </c>
      <c r="C280" s="233" t="str">
        <f t="shared" si="23"/>
        <v>31311 SULTAN SCHOOL DISTRICT</v>
      </c>
      <c r="D280" s="607"/>
      <c r="E280" s="607"/>
      <c r="F280" s="607"/>
      <c r="G280" s="607">
        <v>6424348.6600000001</v>
      </c>
      <c r="H280" s="607">
        <v>861336.85</v>
      </c>
      <c r="I280" s="607">
        <v>776267.71</v>
      </c>
      <c r="J280" s="607">
        <v>982515.64</v>
      </c>
      <c r="K280" s="607">
        <v>599764.57999999996</v>
      </c>
      <c r="L280" s="607">
        <v>75126.78</v>
      </c>
      <c r="M280" s="607">
        <v>2261908.58</v>
      </c>
      <c r="N280" s="608">
        <v>3.7999999999999999E-2</v>
      </c>
      <c r="O280" s="608">
        <v>0.182</v>
      </c>
      <c r="P280" s="607"/>
      <c r="Q280" s="607"/>
      <c r="R280" s="607"/>
      <c r="S280" s="607"/>
      <c r="T280" s="607"/>
      <c r="U280" s="607"/>
      <c r="V280" s="607"/>
      <c r="W280" s="607"/>
      <c r="X280" s="607"/>
      <c r="Y280" s="607">
        <v>1764.14</v>
      </c>
      <c r="Z280" s="607"/>
      <c r="AA280" s="607">
        <v>157041</v>
      </c>
      <c r="AB280" s="607">
        <v>125341.2</v>
      </c>
      <c r="AC280" s="607">
        <v>1727836.72</v>
      </c>
      <c r="AD280" s="607">
        <v>150.56</v>
      </c>
      <c r="AE280" s="607">
        <v>1591998.71</v>
      </c>
      <c r="AF280" s="148"/>
      <c r="AG280" s="148"/>
      <c r="AH280" s="148"/>
      <c r="AI280" s="607">
        <v>11.28</v>
      </c>
      <c r="AJ280" s="607">
        <v>116994</v>
      </c>
      <c r="AK280" s="148"/>
      <c r="AL280" s="148"/>
      <c r="AM280" s="148"/>
      <c r="AN280" s="607"/>
      <c r="AO280" s="607"/>
      <c r="AP280" s="148"/>
      <c r="AQ280" s="168">
        <v>124772.89000000007</v>
      </c>
      <c r="AR280" s="238">
        <v>285236.8</v>
      </c>
      <c r="AU280" s="633">
        <f t="shared" si="24"/>
        <v>0</v>
      </c>
      <c r="AX280" s="358">
        <v>274</v>
      </c>
      <c r="AY280" s="301" t="s">
        <v>584</v>
      </c>
      <c r="AZ280" s="139" t="s">
        <v>585</v>
      </c>
      <c r="BA280" s="633">
        <f t="shared" si="22"/>
        <v>0</v>
      </c>
      <c r="BC280" s="196">
        <v>274</v>
      </c>
      <c r="BD280" s="73" t="s">
        <v>584</v>
      </c>
      <c r="BE280" s="139" t="s">
        <v>585</v>
      </c>
      <c r="BF280" s="168">
        <v>124772.89000000007</v>
      </c>
      <c r="BG280" s="168">
        <v>248323.53</v>
      </c>
    </row>
    <row r="281" spans="1:59">
      <c r="A281" t="s">
        <v>1546</v>
      </c>
      <c r="B281" s="233" t="s">
        <v>630</v>
      </c>
      <c r="C281" s="233" t="str">
        <f t="shared" si="23"/>
        <v>33202 SUMMIT ATLAS SCHOOL DISTRICT</v>
      </c>
      <c r="D281" s="607"/>
      <c r="E281" s="607"/>
      <c r="F281" s="607"/>
      <c r="G281" s="607">
        <v>181679.38</v>
      </c>
      <c r="H281" s="607">
        <v>31566.95</v>
      </c>
      <c r="I281" s="607">
        <v>31059.85</v>
      </c>
      <c r="J281" s="607">
        <v>59135.34</v>
      </c>
      <c r="K281" s="607"/>
      <c r="L281" s="607">
        <v>2873.87</v>
      </c>
      <c r="M281" s="607"/>
      <c r="N281" s="608">
        <v>9.2799999999999994E-2</v>
      </c>
      <c r="O281" s="608">
        <v>0.22170000000000001</v>
      </c>
      <c r="P281" s="607"/>
      <c r="Q281" s="607"/>
      <c r="R281" s="607"/>
      <c r="S281" s="607"/>
      <c r="T281" s="607"/>
      <c r="U281" s="607"/>
      <c r="V281" s="607"/>
      <c r="W281" s="607"/>
      <c r="X281" s="607"/>
      <c r="Y281" s="607">
        <v>89.31</v>
      </c>
      <c r="Z281" s="607"/>
      <c r="AA281" s="607"/>
      <c r="AB281" s="607"/>
      <c r="AC281" s="607"/>
      <c r="AD281" s="607"/>
      <c r="AE281" s="607"/>
      <c r="AF281" s="148"/>
      <c r="AG281" s="148"/>
      <c r="AH281" s="148"/>
      <c r="AI281" s="607"/>
      <c r="AJ281" s="607"/>
      <c r="AK281" s="148"/>
      <c r="AL281" s="148"/>
      <c r="AM281" s="148"/>
      <c r="AN281" s="607"/>
      <c r="AO281" s="607"/>
      <c r="AP281" s="148"/>
      <c r="AQ281" s="168">
        <v>21283.279999999999</v>
      </c>
      <c r="AR281" s="238">
        <v>71537.45</v>
      </c>
      <c r="AU281" s="633">
        <f t="shared" si="24"/>
        <v>15297</v>
      </c>
      <c r="AX281" s="358">
        <v>275</v>
      </c>
      <c r="AY281" s="309" t="s">
        <v>1476</v>
      </c>
      <c r="AZ281" s="191" t="s">
        <v>1546</v>
      </c>
      <c r="BA281" s="633">
        <f t="shared" si="22"/>
        <v>0</v>
      </c>
      <c r="BC281" s="196">
        <v>275</v>
      </c>
      <c r="BD281" s="73" t="s">
        <v>1476</v>
      </c>
      <c r="BE281" s="191" t="s">
        <v>1546</v>
      </c>
      <c r="BF281" s="168">
        <v>21283.279999999999</v>
      </c>
      <c r="BG281" s="168">
        <v>60659.360000000001</v>
      </c>
    </row>
    <row r="282" spans="1:59">
      <c r="A282" t="s">
        <v>1549</v>
      </c>
      <c r="B282" s="233" t="s">
        <v>1476</v>
      </c>
      <c r="C282" s="233" t="str">
        <f>CONCATENATE(B282," ",A282," CHARTER")</f>
        <v>17905 SUMMIT OLYMPUS CHARTER</v>
      </c>
      <c r="D282" s="607"/>
      <c r="E282" s="607"/>
      <c r="F282" s="607"/>
      <c r="G282" s="607">
        <v>1605097.5</v>
      </c>
      <c r="H282" s="607">
        <v>245780.96</v>
      </c>
      <c r="I282" s="607"/>
      <c r="J282" s="607">
        <v>196171.5</v>
      </c>
      <c r="K282" s="607">
        <v>233842.76</v>
      </c>
      <c r="L282" s="607">
        <v>22576.3</v>
      </c>
      <c r="M282" s="607">
        <v>733318.83</v>
      </c>
      <c r="N282" s="608">
        <v>0.18190000000000001</v>
      </c>
      <c r="O282" s="608">
        <v>0.27289999999999998</v>
      </c>
      <c r="P282" s="607"/>
      <c r="Q282" s="607"/>
      <c r="R282" s="607"/>
      <c r="S282" s="607"/>
      <c r="T282" s="607"/>
      <c r="U282" s="607"/>
      <c r="V282" s="607"/>
      <c r="W282" s="607"/>
      <c r="X282" s="607"/>
      <c r="Y282" s="607"/>
      <c r="Z282" s="607"/>
      <c r="AA282" s="607"/>
      <c r="AB282" s="607"/>
      <c r="AC282" s="607">
        <v>11413.54</v>
      </c>
      <c r="AD282" s="607"/>
      <c r="AE282" s="607"/>
      <c r="AF282" s="148"/>
      <c r="AG282" s="148"/>
      <c r="AH282" s="148"/>
      <c r="AI282" s="607"/>
      <c r="AJ282" s="607"/>
      <c r="AK282" s="148"/>
      <c r="AL282" s="148"/>
      <c r="AM282" s="148"/>
      <c r="AN282" s="607"/>
      <c r="AO282" s="607"/>
      <c r="AP282" s="148"/>
      <c r="AQ282" s="168">
        <v>55675.78</v>
      </c>
      <c r="AR282" s="238"/>
      <c r="AU282" s="633">
        <f t="shared" si="24"/>
        <v>-10000</v>
      </c>
      <c r="AX282" s="358">
        <v>276</v>
      </c>
      <c r="AY282" s="311" t="s">
        <v>1426</v>
      </c>
      <c r="AZ282" s="191" t="s">
        <v>1549</v>
      </c>
      <c r="BA282" s="633">
        <f t="shared" si="22"/>
        <v>0</v>
      </c>
      <c r="BC282" s="196">
        <v>276</v>
      </c>
      <c r="BD282" s="73" t="s">
        <v>1426</v>
      </c>
      <c r="BE282" s="191" t="s">
        <v>1549</v>
      </c>
      <c r="BF282" s="168">
        <v>55675.78</v>
      </c>
      <c r="BG282" s="168"/>
    </row>
    <row r="283" spans="1:59">
      <c r="A283" t="s">
        <v>1550</v>
      </c>
      <c r="B283" s="233" t="s">
        <v>1426</v>
      </c>
      <c r="C283" s="233" t="str">
        <f>CONCATENATE(B283," ",A283," CHARTER")</f>
        <v>27905 SUMMIT SIERRA  CHARTER</v>
      </c>
      <c r="D283" s="607"/>
      <c r="E283" s="607"/>
      <c r="F283" s="607"/>
      <c r="G283" s="607"/>
      <c r="H283" s="607"/>
      <c r="I283" s="607"/>
      <c r="J283" s="607"/>
      <c r="K283" s="607"/>
      <c r="L283" s="607"/>
      <c r="M283" s="607"/>
      <c r="N283" s="610">
        <v>0.1827</v>
      </c>
      <c r="O283" s="610">
        <v>0.36859999999999998</v>
      </c>
      <c r="P283" s="607"/>
      <c r="Q283" s="607"/>
      <c r="R283" s="607"/>
      <c r="S283" s="607"/>
      <c r="T283" s="607"/>
      <c r="U283" s="607"/>
      <c r="V283" s="607"/>
      <c r="W283" s="607"/>
      <c r="X283" s="607"/>
      <c r="Y283" s="607"/>
      <c r="Z283" s="607"/>
      <c r="AA283" s="607"/>
      <c r="AB283" s="607"/>
      <c r="AC283" s="607"/>
      <c r="AD283" s="607"/>
      <c r="AE283" s="607"/>
      <c r="AF283" s="148"/>
      <c r="AG283" s="148"/>
      <c r="AH283" s="148"/>
      <c r="AI283" s="607"/>
      <c r="AJ283" s="607"/>
      <c r="AK283" s="148"/>
      <c r="AL283" s="148"/>
      <c r="AM283" s="148"/>
      <c r="AN283" s="607"/>
      <c r="AO283" s="607"/>
      <c r="AP283" s="148"/>
      <c r="AQ283" s="168">
        <v>21968.390000000014</v>
      </c>
      <c r="AR283" s="238">
        <v>26543.07</v>
      </c>
      <c r="AU283" s="633">
        <f t="shared" si="24"/>
        <v>10003</v>
      </c>
      <c r="AX283" s="358">
        <v>277</v>
      </c>
      <c r="AY283" s="311" t="s">
        <v>1427</v>
      </c>
      <c r="AZ283" s="191" t="s">
        <v>1550</v>
      </c>
      <c r="BA283" s="633">
        <f t="shared" si="22"/>
        <v>0</v>
      </c>
      <c r="BC283" s="196">
        <v>277</v>
      </c>
      <c r="BD283" s="73" t="s">
        <v>1427</v>
      </c>
      <c r="BE283" s="191" t="s">
        <v>1550</v>
      </c>
      <c r="BF283" s="168">
        <v>21968.390000000014</v>
      </c>
      <c r="BG283" s="168">
        <v>21664.53</v>
      </c>
    </row>
    <row r="284" spans="1:59">
      <c r="A284" s="139" t="s">
        <v>631</v>
      </c>
      <c r="B284" s="233" t="s">
        <v>1427</v>
      </c>
      <c r="C284" s="233" t="str">
        <f>CONCATENATE(B284," ",A284," CHARTER")</f>
        <v>17902 SUMMIT VALLEY CHARTER</v>
      </c>
      <c r="D284" s="607"/>
      <c r="E284" s="607"/>
      <c r="F284" s="607"/>
      <c r="G284" s="607">
        <v>584836.68000000005</v>
      </c>
      <c r="H284" s="607">
        <v>98557.57</v>
      </c>
      <c r="I284" s="607"/>
      <c r="J284" s="607">
        <v>67856.47</v>
      </c>
      <c r="K284" s="607">
        <v>50315.82</v>
      </c>
      <c r="L284" s="607">
        <v>5867.28</v>
      </c>
      <c r="M284" s="607"/>
      <c r="N284" s="608">
        <v>0.15129999999999999</v>
      </c>
      <c r="O284" s="608">
        <v>0.28889999999999999</v>
      </c>
      <c r="P284" s="607"/>
      <c r="Q284" s="607"/>
      <c r="R284" s="607"/>
      <c r="S284" s="607"/>
      <c r="T284" s="607"/>
      <c r="U284" s="607"/>
      <c r="V284" s="607"/>
      <c r="W284" s="607"/>
      <c r="X284" s="607"/>
      <c r="Y284" s="607"/>
      <c r="Z284" s="607"/>
      <c r="AA284" s="607"/>
      <c r="AB284" s="607"/>
      <c r="AC284" s="607">
        <v>5706.77</v>
      </c>
      <c r="AD284" s="607"/>
      <c r="AE284" s="607"/>
      <c r="AF284" s="148"/>
      <c r="AG284" s="148"/>
      <c r="AH284" s="148"/>
      <c r="AI284" s="607"/>
      <c r="AJ284" s="607"/>
      <c r="AK284" s="148"/>
      <c r="AL284" s="148"/>
      <c r="AM284" s="148"/>
      <c r="AN284" s="607"/>
      <c r="AO284" s="607"/>
      <c r="AP284" s="148"/>
      <c r="AQ284" s="168">
        <v>2567.5100000000002</v>
      </c>
      <c r="AR284" s="238">
        <v>12135.01</v>
      </c>
      <c r="AU284" s="633">
        <f t="shared" si="24"/>
        <v>-15300</v>
      </c>
      <c r="AX284" s="358">
        <v>278</v>
      </c>
      <c r="AY284" s="301" t="s">
        <v>630</v>
      </c>
      <c r="AZ284" s="634" t="s">
        <v>631</v>
      </c>
      <c r="BA284" s="633">
        <f t="shared" si="22"/>
        <v>0</v>
      </c>
      <c r="BC284" s="196">
        <v>278</v>
      </c>
      <c r="BD284" s="73" t="s">
        <v>630</v>
      </c>
      <c r="BE284" s="634" t="s">
        <v>631</v>
      </c>
      <c r="BF284" s="168">
        <v>2567.5100000000002</v>
      </c>
      <c r="BG284" s="168">
        <v>10646.32</v>
      </c>
    </row>
    <row r="285" spans="1:59">
      <c r="A285" s="139" t="s">
        <v>1512</v>
      </c>
      <c r="B285" s="233" t="s">
        <v>515</v>
      </c>
      <c r="C285" s="233" t="str">
        <f>CONCATENATE(B285," ",A285," SCHOOL DISTRICT")</f>
        <v>27320 SUMNER – BONNEY LAKE SCHOOL DISTRICT</v>
      </c>
      <c r="D285" s="607"/>
      <c r="E285" s="607">
        <v>215621.78</v>
      </c>
      <c r="F285" s="607"/>
      <c r="G285" s="607">
        <v>22704359.690000001</v>
      </c>
      <c r="H285" s="607">
        <v>3355780.19</v>
      </c>
      <c r="I285" s="607">
        <v>154540.79999999999</v>
      </c>
      <c r="J285" s="607">
        <v>2693982.48</v>
      </c>
      <c r="K285" s="607">
        <v>1333571.18</v>
      </c>
      <c r="L285" s="607">
        <v>367460.97</v>
      </c>
      <c r="M285" s="607">
        <v>6035514.4299999997</v>
      </c>
      <c r="N285" s="608">
        <v>3.4299999999999997E-2</v>
      </c>
      <c r="O285" s="608">
        <v>0.14729999999999999</v>
      </c>
      <c r="P285" s="607"/>
      <c r="Q285" s="607"/>
      <c r="R285" s="607"/>
      <c r="S285" s="607"/>
      <c r="T285" s="607"/>
      <c r="U285" s="607"/>
      <c r="V285" s="607"/>
      <c r="W285" s="607"/>
      <c r="X285" s="607"/>
      <c r="Y285" s="607">
        <v>5911.07</v>
      </c>
      <c r="Z285" s="607">
        <v>104811.13</v>
      </c>
      <c r="AA285" s="607">
        <v>3801.44</v>
      </c>
      <c r="AB285" s="607">
        <v>1176320.8799999999</v>
      </c>
      <c r="AC285" s="607">
        <v>6775541.2000000002</v>
      </c>
      <c r="AD285" s="607">
        <v>587.79</v>
      </c>
      <c r="AE285" s="607">
        <v>5988653.5499999998</v>
      </c>
      <c r="AF285" s="148"/>
      <c r="AG285" s="148"/>
      <c r="AH285" s="148"/>
      <c r="AI285" s="607">
        <v>109.51</v>
      </c>
      <c r="AJ285" s="607">
        <v>1096237.6200000001</v>
      </c>
      <c r="AK285" s="148"/>
      <c r="AL285" s="148"/>
      <c r="AM285" s="148"/>
      <c r="AN285" s="607"/>
      <c r="AO285" s="607"/>
      <c r="AP285" s="148"/>
      <c r="AQ285" s="168">
        <v>254952.00999999943</v>
      </c>
      <c r="AR285" s="238">
        <v>1190171.57</v>
      </c>
      <c r="AU285" s="633">
        <f t="shared" si="24"/>
        <v>0</v>
      </c>
      <c r="AX285" s="358">
        <v>279</v>
      </c>
      <c r="AY285" s="301" t="s">
        <v>515</v>
      </c>
      <c r="AZ285" s="139" t="s">
        <v>1512</v>
      </c>
      <c r="BA285" s="633">
        <f t="shared" si="22"/>
        <v>0</v>
      </c>
      <c r="BC285" s="196">
        <v>279</v>
      </c>
      <c r="BD285" s="73" t="s">
        <v>515</v>
      </c>
      <c r="BE285" s="139" t="s">
        <v>1512</v>
      </c>
      <c r="BF285" s="168">
        <v>254952.00999999943</v>
      </c>
      <c r="BG285" s="168">
        <v>1040112.6299999999</v>
      </c>
    </row>
    <row r="286" spans="1:59">
      <c r="A286" s="139" t="s">
        <v>725</v>
      </c>
      <c r="B286" s="233" t="s">
        <v>724</v>
      </c>
      <c r="C286" s="233" t="str">
        <f>CONCATENATE(B286," ",A286," SCHOOL DISTRICT")</f>
        <v>39201 SUNNYSIDE SCHOOL DISTRICT</v>
      </c>
      <c r="D286" s="607"/>
      <c r="E286" s="607">
        <v>223418.63</v>
      </c>
      <c r="F286" s="607">
        <v>133223.32</v>
      </c>
      <c r="G286" s="607">
        <v>10347911.359999999</v>
      </c>
      <c r="H286" s="607">
        <v>1641609.35</v>
      </c>
      <c r="I286" s="607">
        <v>1939417.69</v>
      </c>
      <c r="J286" s="607">
        <v>3970688.58</v>
      </c>
      <c r="K286" s="607">
        <v>3301415.2</v>
      </c>
      <c r="L286" s="607">
        <v>182601.05</v>
      </c>
      <c r="M286" s="607">
        <v>3667058.29</v>
      </c>
      <c r="N286" s="608">
        <v>4.4999999999999998E-2</v>
      </c>
      <c r="O286" s="608">
        <v>0.17</v>
      </c>
      <c r="P286" s="607"/>
      <c r="Q286" s="607"/>
      <c r="R286" s="607"/>
      <c r="S286" s="607"/>
      <c r="T286" s="607"/>
      <c r="U286" s="607"/>
      <c r="V286" s="607"/>
      <c r="W286" s="607"/>
      <c r="X286" s="607"/>
      <c r="Y286" s="607">
        <v>1172.55</v>
      </c>
      <c r="Z286" s="607">
        <v>16833.71</v>
      </c>
      <c r="AA286" s="607">
        <v>23827.43</v>
      </c>
      <c r="AB286" s="607">
        <v>383780.69</v>
      </c>
      <c r="AC286" s="607">
        <v>3616218.27</v>
      </c>
      <c r="AD286" s="607">
        <v>352.81</v>
      </c>
      <c r="AE286" s="607">
        <v>3323035.65</v>
      </c>
      <c r="AF286" s="148"/>
      <c r="AG286" s="148"/>
      <c r="AH286" s="148"/>
      <c r="AI286" s="607">
        <v>39.11</v>
      </c>
      <c r="AJ286" s="607">
        <v>361258.25</v>
      </c>
      <c r="AK286" s="148"/>
      <c r="AL286" s="148"/>
      <c r="AM286" s="148"/>
      <c r="AN286" s="607">
        <v>7296</v>
      </c>
      <c r="AO286" s="607"/>
      <c r="AP286" s="148"/>
      <c r="AQ286" s="168">
        <v>205420.78000000038</v>
      </c>
      <c r="AR286" s="238">
        <v>704745.91</v>
      </c>
      <c r="AU286" s="633">
        <f t="shared" si="24"/>
        <v>0</v>
      </c>
      <c r="AX286" s="358">
        <v>280</v>
      </c>
      <c r="AY286" s="301" t="s">
        <v>724</v>
      </c>
      <c r="AZ286" s="139" t="s">
        <v>725</v>
      </c>
      <c r="BA286" s="633">
        <f t="shared" si="22"/>
        <v>0</v>
      </c>
      <c r="BC286" s="196">
        <v>280</v>
      </c>
      <c r="BD286" s="73" t="s">
        <v>724</v>
      </c>
      <c r="BE286" s="139" t="s">
        <v>725</v>
      </c>
      <c r="BF286" s="168">
        <v>205420.78000000038</v>
      </c>
      <c r="BG286" s="168">
        <v>627570.13</v>
      </c>
    </row>
    <row r="287" spans="1:59">
      <c r="A287" t="s">
        <v>1189</v>
      </c>
      <c r="B287" s="233" t="s">
        <v>1177</v>
      </c>
      <c r="C287" s="233" t="str">
        <f>CONCATENATE(B287," ",A287," TRIBAL COMPACT")</f>
        <v>18902 SUQUAMISH TRIBAL TRIBAL COMPACT</v>
      </c>
      <c r="D287" s="607">
        <v>14265.49</v>
      </c>
      <c r="E287" s="607">
        <v>3656.47</v>
      </c>
      <c r="F287" s="607"/>
      <c r="G287" s="607">
        <v>277604.27</v>
      </c>
      <c r="H287" s="607">
        <v>52268.11</v>
      </c>
      <c r="I287" s="607">
        <v>28316.05</v>
      </c>
      <c r="J287" s="607">
        <v>41708.76</v>
      </c>
      <c r="K287" s="607"/>
      <c r="L287" s="607">
        <v>2933.65</v>
      </c>
      <c r="M287" s="607">
        <v>74363.62</v>
      </c>
      <c r="N287" s="608">
        <v>3.8699999999999998E-2</v>
      </c>
      <c r="O287" s="608">
        <v>0.1535</v>
      </c>
      <c r="P287" s="607"/>
      <c r="Q287" s="607"/>
      <c r="R287" s="607"/>
      <c r="S287" s="607"/>
      <c r="T287" s="607"/>
      <c r="U287" s="607"/>
      <c r="V287" s="607"/>
      <c r="W287" s="607"/>
      <c r="X287" s="607"/>
      <c r="Y287" s="607">
        <v>66.37</v>
      </c>
      <c r="Z287" s="607"/>
      <c r="AA287" s="607"/>
      <c r="AB287" s="607">
        <v>13549.42</v>
      </c>
      <c r="AC287" s="607">
        <v>87990.720000000001</v>
      </c>
      <c r="AD287" s="607">
        <v>7.94</v>
      </c>
      <c r="AE287" s="607">
        <v>83964.13</v>
      </c>
      <c r="AF287" s="148"/>
      <c r="AG287" s="148"/>
      <c r="AH287" s="148"/>
      <c r="AI287" s="607">
        <v>1.22</v>
      </c>
      <c r="AJ287" s="607">
        <v>12601</v>
      </c>
      <c r="AK287" s="148"/>
      <c r="AL287" s="148"/>
      <c r="AM287" s="148"/>
      <c r="AN287" s="607"/>
      <c r="AO287" s="607"/>
      <c r="AP287" s="148"/>
      <c r="AQ287" s="168">
        <v>142630.75</v>
      </c>
      <c r="AR287" s="238">
        <v>27228.46</v>
      </c>
      <c r="AU287" s="633">
        <f t="shared" si="24"/>
        <v>0</v>
      </c>
      <c r="AX287" s="358">
        <v>281</v>
      </c>
      <c r="AY287" s="309" t="s">
        <v>1177</v>
      </c>
      <c r="AZ287" t="s">
        <v>1189</v>
      </c>
      <c r="BA287" s="633">
        <f t="shared" ref="BA287:BA318" si="25">+AY287-BD287</f>
        <v>0</v>
      </c>
      <c r="BC287" s="196">
        <v>281</v>
      </c>
      <c r="BD287" s="73" t="s">
        <v>1177</v>
      </c>
      <c r="BE287" t="s">
        <v>1189</v>
      </c>
      <c r="BF287" s="168">
        <v>142630.75</v>
      </c>
      <c r="BG287" s="168">
        <v>24932.51</v>
      </c>
    </row>
    <row r="288" spans="1:59">
      <c r="A288" s="139" t="s">
        <v>510</v>
      </c>
      <c r="B288" s="233" t="s">
        <v>509</v>
      </c>
      <c r="C288" s="233" t="str">
        <f t="shared" ref="C288:C306" si="26">CONCATENATE(B288," ",A288," SCHOOL DISTRICT")</f>
        <v>27010 TACOMA SCHOOL DISTRICT</v>
      </c>
      <c r="D288" s="607"/>
      <c r="E288" s="607">
        <v>820568.47</v>
      </c>
      <c r="F288" s="607">
        <v>296870.95</v>
      </c>
      <c r="G288" s="607">
        <v>69645203.290000007</v>
      </c>
      <c r="H288" s="607">
        <v>10904293.109999999</v>
      </c>
      <c r="I288" s="607">
        <v>6408568</v>
      </c>
      <c r="J288" s="607">
        <v>12448700.039999999</v>
      </c>
      <c r="K288" s="607">
        <v>7240468.1699999999</v>
      </c>
      <c r="L288" s="607">
        <v>935532.47</v>
      </c>
      <c r="M288" s="607">
        <v>19598980.219999999</v>
      </c>
      <c r="N288" s="608">
        <v>2.4299999999999999E-2</v>
      </c>
      <c r="O288" s="608">
        <v>0.14369999999999999</v>
      </c>
      <c r="P288" s="607"/>
      <c r="Q288" s="607">
        <v>18590.32</v>
      </c>
      <c r="R288" s="607"/>
      <c r="S288" s="607">
        <v>493030.53</v>
      </c>
      <c r="T288" s="607"/>
      <c r="U288" s="607">
        <v>16166.32</v>
      </c>
      <c r="V288" s="607"/>
      <c r="W288" s="607"/>
      <c r="X288" s="607"/>
      <c r="Y288" s="607">
        <v>369.54</v>
      </c>
      <c r="Z288" s="607">
        <v>339929.26</v>
      </c>
      <c r="AA288" s="607">
        <v>339929.26</v>
      </c>
      <c r="AB288" s="607">
        <v>3303227.27</v>
      </c>
      <c r="AC288" s="607">
        <v>16188209.6</v>
      </c>
      <c r="AD288" s="607">
        <v>1457.74</v>
      </c>
      <c r="AE288" s="607">
        <v>14852215.539999999</v>
      </c>
      <c r="AF288" s="148"/>
      <c r="AG288" s="148"/>
      <c r="AH288" s="148"/>
      <c r="AI288" s="607">
        <v>304.39</v>
      </c>
      <c r="AJ288" s="607">
        <v>3046801.66</v>
      </c>
      <c r="AK288" s="148"/>
      <c r="AL288" s="148"/>
      <c r="AM288" s="148"/>
      <c r="AN288" s="607"/>
      <c r="AO288" s="607"/>
      <c r="AP288" s="148"/>
      <c r="AQ288" s="168">
        <v>0</v>
      </c>
      <c r="AR288" s="238">
        <v>3345022.45</v>
      </c>
      <c r="AU288" s="633">
        <f t="shared" si="24"/>
        <v>0</v>
      </c>
      <c r="AX288" s="358">
        <v>282</v>
      </c>
      <c r="AY288" s="301" t="s">
        <v>509</v>
      </c>
      <c r="AZ288" s="139" t="s">
        <v>510</v>
      </c>
      <c r="BA288" s="633">
        <f t="shared" si="25"/>
        <v>0</v>
      </c>
      <c r="BC288" s="196">
        <v>282</v>
      </c>
      <c r="BD288" s="73" t="s">
        <v>509</v>
      </c>
      <c r="BE288" s="139" t="s">
        <v>510</v>
      </c>
      <c r="BF288" s="168">
        <v>0</v>
      </c>
      <c r="BG288" s="168">
        <v>2891302.87</v>
      </c>
    </row>
    <row r="289" spans="1:59">
      <c r="A289" s="139" t="s">
        <v>310</v>
      </c>
      <c r="B289" s="233" t="s">
        <v>309</v>
      </c>
      <c r="C289" s="233" t="str">
        <f t="shared" si="26"/>
        <v>14077 TAHOLAH SCHOOL DISTRICT</v>
      </c>
      <c r="D289" s="607"/>
      <c r="E289" s="607">
        <v>9878.7199999999993</v>
      </c>
      <c r="F289" s="607"/>
      <c r="G289" s="607">
        <v>344062.25</v>
      </c>
      <c r="H289" s="607">
        <v>50581.03</v>
      </c>
      <c r="I289" s="607">
        <v>60793.32</v>
      </c>
      <c r="J289" s="607">
        <v>102464.39</v>
      </c>
      <c r="K289" s="607"/>
      <c r="L289" s="607"/>
      <c r="M289" s="607">
        <v>137846.79</v>
      </c>
      <c r="N289" s="608">
        <v>0.14879999999999999</v>
      </c>
      <c r="O289" s="608">
        <v>0.42549999999999999</v>
      </c>
      <c r="P289" s="607"/>
      <c r="Q289" s="607"/>
      <c r="R289" s="607"/>
      <c r="S289" s="607"/>
      <c r="T289" s="607"/>
      <c r="U289" s="607"/>
      <c r="V289" s="607"/>
      <c r="W289" s="607"/>
      <c r="X289" s="607"/>
      <c r="Y289" s="607"/>
      <c r="Z289" s="607"/>
      <c r="AA289" s="607"/>
      <c r="AB289" s="607"/>
      <c r="AC289" s="607">
        <v>28566.11</v>
      </c>
      <c r="AD289" s="607">
        <v>2.4</v>
      </c>
      <c r="AE289" s="607">
        <v>22604.69</v>
      </c>
      <c r="AF289" s="148"/>
      <c r="AG289" s="148"/>
      <c r="AH289" s="148"/>
      <c r="AI289" s="607"/>
      <c r="AJ289" s="607"/>
      <c r="AK289" s="148"/>
      <c r="AL289" s="148"/>
      <c r="AM289" s="148"/>
      <c r="AN289" s="607"/>
      <c r="AO289" s="607"/>
      <c r="AP289" s="148"/>
      <c r="AQ289" s="168">
        <v>0</v>
      </c>
      <c r="AR289" s="238">
        <v>30232.43</v>
      </c>
      <c r="AU289" s="633">
        <f t="shared" si="24"/>
        <v>0</v>
      </c>
      <c r="AX289" s="358">
        <v>283</v>
      </c>
      <c r="AY289" s="301" t="s">
        <v>309</v>
      </c>
      <c r="AZ289" s="139" t="s">
        <v>310</v>
      </c>
      <c r="BA289" s="633">
        <f t="shared" si="25"/>
        <v>0</v>
      </c>
      <c r="BC289" s="196">
        <v>283</v>
      </c>
      <c r="BD289" s="73" t="s">
        <v>309</v>
      </c>
      <c r="BE289" s="139" t="s">
        <v>310</v>
      </c>
      <c r="BF289" s="168">
        <v>0</v>
      </c>
      <c r="BG289" s="168">
        <v>27394.560000000001</v>
      </c>
    </row>
    <row r="290" spans="1:59">
      <c r="A290" s="139" t="s">
        <v>362</v>
      </c>
      <c r="B290" s="233" t="s">
        <v>361</v>
      </c>
      <c r="C290" s="233" t="str">
        <f t="shared" si="26"/>
        <v>17409 TAHOMA SCHOOL DISTRICT</v>
      </c>
      <c r="D290" s="607"/>
      <c r="E290" s="607"/>
      <c r="F290" s="607"/>
      <c r="G290" s="607">
        <v>21558196.449999999</v>
      </c>
      <c r="H290" s="607">
        <v>2783572.36</v>
      </c>
      <c r="I290" s="607"/>
      <c r="J290" s="607">
        <v>1456637.98</v>
      </c>
      <c r="K290" s="607">
        <v>1193077.6000000001</v>
      </c>
      <c r="L290" s="607">
        <v>337076.51</v>
      </c>
      <c r="M290" s="607">
        <v>6579280</v>
      </c>
      <c r="N290" s="608">
        <v>4.4000000000000003E-3</v>
      </c>
      <c r="O290" s="608">
        <v>0.1643</v>
      </c>
      <c r="P290" s="607"/>
      <c r="Q290" s="607"/>
      <c r="R290" s="607"/>
      <c r="S290" s="607"/>
      <c r="T290" s="607"/>
      <c r="U290" s="607"/>
      <c r="V290" s="607"/>
      <c r="W290" s="607"/>
      <c r="X290" s="607"/>
      <c r="Y290" s="607">
        <v>6124.11</v>
      </c>
      <c r="Z290" s="607">
        <v>28817.79</v>
      </c>
      <c r="AA290" s="607"/>
      <c r="AB290" s="607">
        <v>471823.15</v>
      </c>
      <c r="AC290" s="607">
        <v>6657051.0499999998</v>
      </c>
      <c r="AD290" s="607">
        <v>512.39</v>
      </c>
      <c r="AE290" s="607">
        <v>5512683.2699999996</v>
      </c>
      <c r="AF290" s="148"/>
      <c r="AG290" s="148"/>
      <c r="AH290" s="148"/>
      <c r="AI290" s="607">
        <v>40.31</v>
      </c>
      <c r="AJ290" s="607">
        <v>426572.61</v>
      </c>
      <c r="AK290" s="148"/>
      <c r="AL290" s="148"/>
      <c r="AM290" s="148"/>
      <c r="AN290" s="607">
        <v>159.69</v>
      </c>
      <c r="AO290" s="607"/>
      <c r="AP290" s="148"/>
      <c r="AQ290" s="168">
        <v>442569.87000000011</v>
      </c>
      <c r="AR290" s="238">
        <v>1047727.7099999998</v>
      </c>
      <c r="AU290" s="633">
        <f t="shared" si="24"/>
        <v>0</v>
      </c>
      <c r="AX290" s="358">
        <v>284</v>
      </c>
      <c r="AY290" s="301" t="s">
        <v>361</v>
      </c>
      <c r="AZ290" s="139" t="s">
        <v>362</v>
      </c>
      <c r="BA290" s="633">
        <f t="shared" si="25"/>
        <v>0</v>
      </c>
      <c r="BC290" s="196">
        <v>284</v>
      </c>
      <c r="BD290" s="73" t="s">
        <v>361</v>
      </c>
      <c r="BE290" s="139" t="s">
        <v>362</v>
      </c>
      <c r="BF290" s="168">
        <v>442569.87000000011</v>
      </c>
      <c r="BG290" s="168">
        <v>949239.79999999993</v>
      </c>
    </row>
    <row r="291" spans="1:59">
      <c r="A291" s="139" t="s">
        <v>690</v>
      </c>
      <c r="B291" s="233" t="s">
        <v>689</v>
      </c>
      <c r="C291" s="233" t="str">
        <f t="shared" si="26"/>
        <v>38265 TEKOA SCHOOL DISTRICT</v>
      </c>
      <c r="D291" s="607"/>
      <c r="E291" s="607">
        <v>4635.83</v>
      </c>
      <c r="F291" s="607"/>
      <c r="G291" s="607">
        <v>438416.93</v>
      </c>
      <c r="H291" s="607">
        <v>74724</v>
      </c>
      <c r="I291" s="607">
        <v>62672.4</v>
      </c>
      <c r="J291" s="607">
        <v>89642.53</v>
      </c>
      <c r="K291" s="607">
        <v>2834.21</v>
      </c>
      <c r="L291" s="607">
        <v>5968.8</v>
      </c>
      <c r="M291" s="607">
        <v>270552.73</v>
      </c>
      <c r="N291" s="608">
        <v>4.9200000000000001E-2</v>
      </c>
      <c r="O291" s="608">
        <v>0.23880000000000001</v>
      </c>
      <c r="P291" s="607"/>
      <c r="Q291" s="607"/>
      <c r="R291" s="607"/>
      <c r="S291" s="607"/>
      <c r="T291" s="607"/>
      <c r="U291" s="607"/>
      <c r="V291" s="607"/>
      <c r="W291" s="607"/>
      <c r="X291" s="607"/>
      <c r="Y291" s="607">
        <v>93.41</v>
      </c>
      <c r="Z291" s="607"/>
      <c r="AA291" s="607">
        <v>21623.279999999999</v>
      </c>
      <c r="AB291" s="607">
        <v>115974.68</v>
      </c>
      <c r="AC291" s="607">
        <v>272513.5</v>
      </c>
      <c r="AD291" s="607">
        <v>27.51</v>
      </c>
      <c r="AE291" s="607">
        <v>259174.75</v>
      </c>
      <c r="AF291" s="148"/>
      <c r="AG291" s="148"/>
      <c r="AH291" s="148"/>
      <c r="AI291" s="607">
        <v>11.88</v>
      </c>
      <c r="AJ291" s="607">
        <v>109792.04</v>
      </c>
      <c r="AK291" s="148"/>
      <c r="AL291" s="148"/>
      <c r="AM291" s="148"/>
      <c r="AN291" s="607"/>
      <c r="AO291" s="607"/>
      <c r="AP291" s="148"/>
      <c r="AQ291" s="168">
        <v>0</v>
      </c>
      <c r="AR291" s="238">
        <v>30763.109999999997</v>
      </c>
      <c r="AU291" s="633">
        <f t="shared" si="24"/>
        <v>0</v>
      </c>
      <c r="AX291" s="358">
        <v>285</v>
      </c>
      <c r="AY291" s="301" t="s">
        <v>689</v>
      </c>
      <c r="AZ291" s="139" t="s">
        <v>690</v>
      </c>
      <c r="BA291" s="633">
        <f t="shared" si="25"/>
        <v>0</v>
      </c>
      <c r="BC291" s="196">
        <v>285</v>
      </c>
      <c r="BD291" s="73" t="s">
        <v>689</v>
      </c>
      <c r="BE291" s="139" t="s">
        <v>690</v>
      </c>
      <c r="BF291" s="168">
        <v>0</v>
      </c>
      <c r="BG291" s="168">
        <v>27123.769999999997</v>
      </c>
    </row>
    <row r="292" spans="1:59">
      <c r="A292" s="139" t="s">
        <v>655</v>
      </c>
      <c r="B292" s="233" t="s">
        <v>654</v>
      </c>
      <c r="C292" s="233" t="str">
        <f t="shared" si="26"/>
        <v>34402 TENINO SCHOOL DISTRICT</v>
      </c>
      <c r="D292" s="607"/>
      <c r="E292" s="607"/>
      <c r="F292" s="607"/>
      <c r="G292" s="607">
        <v>2179973.89</v>
      </c>
      <c r="H292" s="607">
        <v>361286.05</v>
      </c>
      <c r="I292" s="607">
        <v>283960.12</v>
      </c>
      <c r="J292" s="607">
        <v>443791.3</v>
      </c>
      <c r="K292" s="607">
        <v>41532.03</v>
      </c>
      <c r="L292" s="607">
        <v>38907.74</v>
      </c>
      <c r="M292" s="607">
        <v>1288543.46</v>
      </c>
      <c r="N292" s="608">
        <v>1.29E-2</v>
      </c>
      <c r="O292" s="608">
        <v>0.18459999999999999</v>
      </c>
      <c r="P292" s="607"/>
      <c r="Q292" s="607"/>
      <c r="R292" s="607"/>
      <c r="S292" s="607"/>
      <c r="T292" s="607"/>
      <c r="U292" s="607"/>
      <c r="V292" s="607"/>
      <c r="W292" s="607"/>
      <c r="X292" s="607"/>
      <c r="Y292" s="607">
        <v>1052.0999999999999</v>
      </c>
      <c r="Z292" s="607">
        <v>16697.400000000001</v>
      </c>
      <c r="AA292" s="607">
        <v>21251.23</v>
      </c>
      <c r="AB292" s="607">
        <v>303122.53999999998</v>
      </c>
      <c r="AC292" s="607">
        <v>977247.26</v>
      </c>
      <c r="AD292" s="607">
        <v>92.54</v>
      </c>
      <c r="AE292" s="607">
        <v>871729.25</v>
      </c>
      <c r="AF292" s="148"/>
      <c r="AG292" s="148"/>
      <c r="AH292" s="148"/>
      <c r="AI292" s="607">
        <v>29.89</v>
      </c>
      <c r="AJ292" s="607">
        <v>276140</v>
      </c>
      <c r="AK292" s="148"/>
      <c r="AL292" s="148"/>
      <c r="AM292" s="148"/>
      <c r="AN292" s="607">
        <v>241.63</v>
      </c>
      <c r="AO292" s="607"/>
      <c r="AP292" s="148"/>
      <c r="AQ292" s="168">
        <v>0</v>
      </c>
      <c r="AR292" s="238">
        <v>135933.10999999999</v>
      </c>
      <c r="AU292" s="633">
        <f t="shared" si="24"/>
        <v>0</v>
      </c>
      <c r="AX292" s="358">
        <v>286</v>
      </c>
      <c r="AY292" s="301" t="s">
        <v>654</v>
      </c>
      <c r="AZ292" s="139" t="s">
        <v>655</v>
      </c>
      <c r="BA292" s="633">
        <f t="shared" si="25"/>
        <v>0</v>
      </c>
      <c r="BC292" s="196">
        <v>286</v>
      </c>
      <c r="BD292" s="73" t="s">
        <v>654</v>
      </c>
      <c r="BE292" s="139" t="s">
        <v>655</v>
      </c>
      <c r="BF292" s="168">
        <v>0</v>
      </c>
      <c r="BG292" s="168">
        <v>118499.56000000001</v>
      </c>
    </row>
    <row r="293" spans="1:59">
      <c r="A293" s="139" t="s">
        <v>389</v>
      </c>
      <c r="B293" s="233" t="s">
        <v>388</v>
      </c>
      <c r="C293" s="233" t="str">
        <f t="shared" si="26"/>
        <v>19400 THORP SCHOOL DISTRICT</v>
      </c>
      <c r="D293" s="607"/>
      <c r="E293" s="607"/>
      <c r="F293" s="607"/>
      <c r="G293" s="607">
        <v>477311.33</v>
      </c>
      <c r="H293" s="607">
        <v>79079.78</v>
      </c>
      <c r="I293" s="607"/>
      <c r="J293" s="607">
        <v>89129.59</v>
      </c>
      <c r="K293" s="607">
        <v>11116.37</v>
      </c>
      <c r="L293" s="607">
        <v>8250.58</v>
      </c>
      <c r="M293" s="607">
        <v>149901.28</v>
      </c>
      <c r="N293" s="608">
        <v>7.8600000000000003E-2</v>
      </c>
      <c r="O293" s="608">
        <v>0.29499999999999998</v>
      </c>
      <c r="P293" s="607"/>
      <c r="Q293" s="607"/>
      <c r="R293" s="607"/>
      <c r="S293" s="607"/>
      <c r="T293" s="607"/>
      <c r="U293" s="607"/>
      <c r="V293" s="607"/>
      <c r="W293" s="607"/>
      <c r="X293" s="607"/>
      <c r="Y293" s="607">
        <v>221.24</v>
      </c>
      <c r="Z293" s="607">
        <v>12463.7</v>
      </c>
      <c r="AA293" s="607">
        <v>4846.99</v>
      </c>
      <c r="AB293" s="607">
        <v>208669.97</v>
      </c>
      <c r="AC293" s="607">
        <v>278758.37</v>
      </c>
      <c r="AD293" s="607">
        <v>27.43</v>
      </c>
      <c r="AE293" s="607">
        <v>268896.37</v>
      </c>
      <c r="AF293" s="148"/>
      <c r="AG293" s="148"/>
      <c r="AH293" s="148"/>
      <c r="AI293" s="607">
        <v>20.53</v>
      </c>
      <c r="AJ293" s="607">
        <v>197733.6</v>
      </c>
      <c r="AK293" s="148"/>
      <c r="AL293" s="148"/>
      <c r="AM293" s="148"/>
      <c r="AN293" s="607"/>
      <c r="AO293" s="607"/>
      <c r="AP293" s="148"/>
      <c r="AQ293" s="168">
        <v>0</v>
      </c>
      <c r="AR293" s="238">
        <v>42651.479999999996</v>
      </c>
      <c r="AU293" s="633">
        <f t="shared" si="24"/>
        <v>0</v>
      </c>
      <c r="AX293" s="358">
        <v>287</v>
      </c>
      <c r="AY293" s="301" t="s">
        <v>388</v>
      </c>
      <c r="AZ293" s="139" t="s">
        <v>389</v>
      </c>
      <c r="BA293" s="633">
        <f t="shared" si="25"/>
        <v>0</v>
      </c>
      <c r="BC293" s="196">
        <v>287</v>
      </c>
      <c r="BD293" s="73" t="s">
        <v>388</v>
      </c>
      <c r="BE293" s="139" t="s">
        <v>389</v>
      </c>
      <c r="BF293" s="168">
        <v>0</v>
      </c>
      <c r="BG293" s="168">
        <v>38500.509999999995</v>
      </c>
    </row>
    <row r="294" spans="1:59">
      <c r="A294" s="139" t="s">
        <v>431</v>
      </c>
      <c r="B294" s="233" t="s">
        <v>430</v>
      </c>
      <c r="C294" s="233" t="str">
        <f t="shared" si="26"/>
        <v>21237 TOLEDO SCHOOL DISTRICT</v>
      </c>
      <c r="D294" s="607"/>
      <c r="E294" s="607">
        <v>6633.89</v>
      </c>
      <c r="F294" s="607">
        <v>12672.31</v>
      </c>
      <c r="G294" s="607">
        <v>2044534.48</v>
      </c>
      <c r="H294" s="607">
        <v>309128.99</v>
      </c>
      <c r="I294" s="607">
        <v>214103.05</v>
      </c>
      <c r="J294" s="607">
        <v>337126.63</v>
      </c>
      <c r="K294" s="607">
        <v>15697.16</v>
      </c>
      <c r="L294" s="607">
        <v>29180.799999999999</v>
      </c>
      <c r="M294" s="607">
        <v>853319.57</v>
      </c>
      <c r="N294" s="608">
        <v>2.1100000000000001E-2</v>
      </c>
      <c r="O294" s="608">
        <v>0.19359999999999999</v>
      </c>
      <c r="P294" s="607"/>
      <c r="Q294" s="607"/>
      <c r="R294" s="607"/>
      <c r="S294" s="607"/>
      <c r="T294" s="607"/>
      <c r="U294" s="607"/>
      <c r="V294" s="607"/>
      <c r="W294" s="607"/>
      <c r="X294" s="607"/>
      <c r="Y294" s="607">
        <v>753.84</v>
      </c>
      <c r="Z294" s="607"/>
      <c r="AA294" s="607">
        <v>13893.91</v>
      </c>
      <c r="AB294" s="607">
        <v>247980.19</v>
      </c>
      <c r="AC294" s="607">
        <v>704325.68</v>
      </c>
      <c r="AD294" s="607">
        <v>66.28</v>
      </c>
      <c r="AE294" s="607">
        <v>624410.30000000005</v>
      </c>
      <c r="AF294" s="148"/>
      <c r="AG294" s="148"/>
      <c r="AH294" s="148"/>
      <c r="AI294" s="607">
        <v>24.67</v>
      </c>
      <c r="AJ294" s="607">
        <v>227882.76</v>
      </c>
      <c r="AK294" s="148"/>
      <c r="AL294" s="148"/>
      <c r="AM294" s="148"/>
      <c r="AN294" s="607"/>
      <c r="AO294" s="607"/>
      <c r="AP294" s="148"/>
      <c r="AQ294" s="168">
        <v>81534.430000000037</v>
      </c>
      <c r="AR294" s="238">
        <v>97667.489999999991</v>
      </c>
      <c r="AU294" s="633">
        <f t="shared" si="24"/>
        <v>0</v>
      </c>
      <c r="AX294" s="358">
        <v>288</v>
      </c>
      <c r="AY294" s="301" t="s">
        <v>430</v>
      </c>
      <c r="AZ294" s="139" t="s">
        <v>431</v>
      </c>
      <c r="BA294" s="633">
        <f t="shared" si="25"/>
        <v>0</v>
      </c>
      <c r="BC294" s="196">
        <v>288</v>
      </c>
      <c r="BD294" s="73" t="s">
        <v>430</v>
      </c>
      <c r="BE294" s="139" t="s">
        <v>431</v>
      </c>
      <c r="BF294" s="168">
        <v>81534.430000000037</v>
      </c>
      <c r="BG294" s="168">
        <v>85334.909999999989</v>
      </c>
    </row>
    <row r="295" spans="1:59">
      <c r="A295" s="139" t="s">
        <v>485</v>
      </c>
      <c r="B295" s="233" t="s">
        <v>484</v>
      </c>
      <c r="C295" s="233" t="str">
        <f t="shared" si="26"/>
        <v>24404 TONASKET SCHOOL DISTRICT</v>
      </c>
      <c r="D295" s="607"/>
      <c r="E295" s="607">
        <v>0.73</v>
      </c>
      <c r="F295" s="607">
        <v>4920.8100000000004</v>
      </c>
      <c r="G295" s="607">
        <v>1730443.52</v>
      </c>
      <c r="H295" s="607">
        <v>286887.09000000003</v>
      </c>
      <c r="I295" s="607">
        <v>342100.65</v>
      </c>
      <c r="J295" s="607">
        <v>524922.75</v>
      </c>
      <c r="K295" s="607">
        <v>220523.11</v>
      </c>
      <c r="L295" s="607">
        <v>32828.400000000001</v>
      </c>
      <c r="M295" s="607">
        <v>1191498.6000000001</v>
      </c>
      <c r="N295" s="608">
        <v>2.7699999999999999E-2</v>
      </c>
      <c r="O295" s="608">
        <v>0.2092</v>
      </c>
      <c r="P295" s="607"/>
      <c r="Q295" s="607"/>
      <c r="R295" s="607"/>
      <c r="S295" s="607"/>
      <c r="T295" s="607"/>
      <c r="U295" s="607"/>
      <c r="V295" s="607"/>
      <c r="W295" s="607"/>
      <c r="X295" s="607"/>
      <c r="Y295" s="607">
        <v>762.85</v>
      </c>
      <c r="Z295" s="607"/>
      <c r="AA295" s="607">
        <v>3167.86</v>
      </c>
      <c r="AB295" s="607">
        <v>58032.42</v>
      </c>
      <c r="AC295" s="607">
        <v>508066.8</v>
      </c>
      <c r="AD295" s="607">
        <v>48.18</v>
      </c>
      <c r="AE295" s="607">
        <v>453877.79</v>
      </c>
      <c r="AF295" s="148"/>
      <c r="AG295" s="148"/>
      <c r="AH295" s="148"/>
      <c r="AI295" s="607">
        <v>5.8</v>
      </c>
      <c r="AJ295" s="607">
        <v>53423.88</v>
      </c>
      <c r="AK295" s="148"/>
      <c r="AL295" s="148"/>
      <c r="AM295" s="148"/>
      <c r="AN295" s="607"/>
      <c r="AO295" s="607"/>
      <c r="AP295" s="148"/>
      <c r="AQ295" s="168">
        <v>5400.5299999999697</v>
      </c>
      <c r="AR295" s="238">
        <v>109971.17000000001</v>
      </c>
      <c r="AU295" s="633">
        <f t="shared" si="24"/>
        <v>0</v>
      </c>
      <c r="AX295" s="358">
        <v>289</v>
      </c>
      <c r="AY295" s="301" t="s">
        <v>484</v>
      </c>
      <c r="AZ295" s="139" t="s">
        <v>485</v>
      </c>
      <c r="BA295" s="633">
        <f t="shared" si="25"/>
        <v>0</v>
      </c>
      <c r="BC295" s="196">
        <v>289</v>
      </c>
      <c r="BD295" s="73" t="s">
        <v>484</v>
      </c>
      <c r="BE295" s="139" t="s">
        <v>485</v>
      </c>
      <c r="BF295" s="168">
        <v>5400.5299999999697</v>
      </c>
      <c r="BG295" s="168">
        <v>95350.05</v>
      </c>
    </row>
    <row r="296" spans="1:59">
      <c r="A296" s="139" t="s">
        <v>727</v>
      </c>
      <c r="B296" s="233" t="s">
        <v>726</v>
      </c>
      <c r="C296" s="233" t="str">
        <f t="shared" si="26"/>
        <v>39202 TOPPENISH SCHOOL DISTRICT</v>
      </c>
      <c r="D296" s="607"/>
      <c r="E296" s="607">
        <v>255600.1</v>
      </c>
      <c r="F296" s="607">
        <v>97073.87</v>
      </c>
      <c r="G296" s="607">
        <v>6462082.2199999997</v>
      </c>
      <c r="H296" s="607">
        <v>1060835.55</v>
      </c>
      <c r="I296" s="607">
        <v>1074273.3799999999</v>
      </c>
      <c r="J296" s="607">
        <v>2560062.2999999998</v>
      </c>
      <c r="K296" s="607">
        <v>2019263.52</v>
      </c>
      <c r="L296" s="607">
        <v>116170.53</v>
      </c>
      <c r="M296" s="607">
        <v>2137589.25</v>
      </c>
      <c r="N296" s="608">
        <v>6.5500000000000003E-2</v>
      </c>
      <c r="O296" s="608">
        <v>0.2152</v>
      </c>
      <c r="P296" s="607"/>
      <c r="Q296" s="607"/>
      <c r="R296" s="607"/>
      <c r="S296" s="607"/>
      <c r="T296" s="607"/>
      <c r="U296" s="607"/>
      <c r="V296" s="607"/>
      <c r="W296" s="607"/>
      <c r="X296" s="607"/>
      <c r="Y296" s="607">
        <v>2870.32</v>
      </c>
      <c r="Z296" s="607"/>
      <c r="AA296" s="607"/>
      <c r="AB296" s="607">
        <v>2826307.94</v>
      </c>
      <c r="AC296" s="607">
        <v>5360099.71</v>
      </c>
      <c r="AD296" s="607">
        <v>543.73</v>
      </c>
      <c r="AE296" s="607">
        <v>5121679.8099999996</v>
      </c>
      <c r="AF296" s="148"/>
      <c r="AG296" s="148"/>
      <c r="AH296" s="148"/>
      <c r="AI296" s="607">
        <v>289.58</v>
      </c>
      <c r="AJ296" s="607">
        <v>2675176.46</v>
      </c>
      <c r="AK296" s="148"/>
      <c r="AL296" s="148"/>
      <c r="AM296" s="148"/>
      <c r="AN296" s="607">
        <v>1755.46</v>
      </c>
      <c r="AO296" s="607"/>
      <c r="AP296" s="148"/>
      <c r="AQ296" s="168">
        <v>112166.78999999986</v>
      </c>
      <c r="AR296" s="238">
        <v>414652.7</v>
      </c>
      <c r="AU296" s="633">
        <f t="shared" si="24"/>
        <v>0</v>
      </c>
      <c r="AX296" s="358">
        <v>290</v>
      </c>
      <c r="AY296" s="301" t="s">
        <v>726</v>
      </c>
      <c r="AZ296" s="139" t="s">
        <v>727</v>
      </c>
      <c r="BA296" s="633">
        <f t="shared" si="25"/>
        <v>0</v>
      </c>
      <c r="BC296" s="196">
        <v>290</v>
      </c>
      <c r="BD296" s="73" t="s">
        <v>726</v>
      </c>
      <c r="BE296" s="139" t="s">
        <v>727</v>
      </c>
      <c r="BF296" s="168">
        <v>112166.78999999986</v>
      </c>
      <c r="BG296" s="168">
        <v>359811.90000000008</v>
      </c>
    </row>
    <row r="297" spans="1:59">
      <c r="A297" s="139" t="s">
        <v>665</v>
      </c>
      <c r="B297" s="233" t="s">
        <v>664</v>
      </c>
      <c r="C297" s="233" t="str">
        <f t="shared" si="26"/>
        <v>36300 TOUCHET SCHOOL DISTRICT</v>
      </c>
      <c r="D297" s="607"/>
      <c r="E297" s="607"/>
      <c r="F297" s="607"/>
      <c r="G297" s="607">
        <v>96193.56</v>
      </c>
      <c r="H297" s="607">
        <v>15514.83</v>
      </c>
      <c r="I297" s="607">
        <v>80468.259999999995</v>
      </c>
      <c r="J297" s="607">
        <v>97158.79</v>
      </c>
      <c r="K297" s="607">
        <v>55049.02</v>
      </c>
      <c r="L297" s="607"/>
      <c r="M297" s="607">
        <v>206616.69</v>
      </c>
      <c r="N297" s="608">
        <v>5.7500000000000002E-2</v>
      </c>
      <c r="O297" s="608">
        <v>0.34660000000000002</v>
      </c>
      <c r="P297" s="607"/>
      <c r="Q297" s="607"/>
      <c r="R297" s="607"/>
      <c r="S297" s="607"/>
      <c r="T297" s="607"/>
      <c r="U297" s="607"/>
      <c r="V297" s="607"/>
      <c r="W297" s="607"/>
      <c r="X297" s="607"/>
      <c r="Y297" s="607">
        <v>194.2</v>
      </c>
      <c r="Z297" s="607"/>
      <c r="AA297" s="607"/>
      <c r="AB297" s="607">
        <v>19841.54</v>
      </c>
      <c r="AC297" s="607">
        <v>142489.42000000001</v>
      </c>
      <c r="AD297" s="607">
        <v>14.6</v>
      </c>
      <c r="AE297" s="607">
        <v>137689.49</v>
      </c>
      <c r="AF297" s="148"/>
      <c r="AG297" s="148"/>
      <c r="AH297" s="148"/>
      <c r="AI297" s="607">
        <v>2.0299999999999998</v>
      </c>
      <c r="AJ297" s="607">
        <v>18609.07</v>
      </c>
      <c r="AK297" s="148"/>
      <c r="AL297" s="148"/>
      <c r="AM297" s="148"/>
      <c r="AN297" s="607"/>
      <c r="AO297" s="607"/>
      <c r="AP297" s="148"/>
      <c r="AQ297" s="168">
        <v>13655.710000000014</v>
      </c>
      <c r="AR297" s="238">
        <v>29277.19</v>
      </c>
      <c r="AU297" s="633">
        <f t="shared" si="24"/>
        <v>0</v>
      </c>
      <c r="AX297" s="358">
        <v>291</v>
      </c>
      <c r="AY297" s="301" t="s">
        <v>664</v>
      </c>
      <c r="AZ297" s="139" t="s">
        <v>665</v>
      </c>
      <c r="BA297" s="633">
        <f t="shared" si="25"/>
        <v>0</v>
      </c>
      <c r="BC297" s="196">
        <v>291</v>
      </c>
      <c r="BD297" s="73" t="s">
        <v>664</v>
      </c>
      <c r="BE297" s="139" t="s">
        <v>665</v>
      </c>
      <c r="BF297" s="168">
        <v>13655.710000000014</v>
      </c>
      <c r="BG297" s="168">
        <v>28547.519999999997</v>
      </c>
    </row>
    <row r="298" spans="1:59">
      <c r="A298" s="298" t="s">
        <v>236</v>
      </c>
      <c r="B298" s="233" t="s">
        <v>235</v>
      </c>
      <c r="C298" s="233" t="str">
        <f t="shared" si="26"/>
        <v>08130 TOUTLE LAKE SCHOOL DISTRICT</v>
      </c>
      <c r="D298" s="607"/>
      <c r="E298" s="607">
        <v>4672.88</v>
      </c>
      <c r="F298" s="607"/>
      <c r="G298" s="607"/>
      <c r="H298" s="607">
        <v>189246.59</v>
      </c>
      <c r="I298" s="607"/>
      <c r="J298" s="607">
        <v>221066.64</v>
      </c>
      <c r="K298" s="607"/>
      <c r="L298" s="607">
        <v>21443.47</v>
      </c>
      <c r="M298" s="607">
        <v>624592.54</v>
      </c>
      <c r="N298" s="608">
        <v>1.9599999999999999E-2</v>
      </c>
      <c r="O298" s="608">
        <v>0.1759</v>
      </c>
      <c r="P298" s="607"/>
      <c r="Q298" s="607"/>
      <c r="R298" s="607"/>
      <c r="S298" s="607"/>
      <c r="T298" s="607"/>
      <c r="U298" s="607"/>
      <c r="V298" s="607"/>
      <c r="W298" s="607"/>
      <c r="X298" s="607"/>
      <c r="Y298" s="607">
        <v>565.38</v>
      </c>
      <c r="Z298" s="607"/>
      <c r="AA298" s="607"/>
      <c r="AB298" s="607">
        <v>141824.13</v>
      </c>
      <c r="AC298" s="607">
        <v>445092.5</v>
      </c>
      <c r="AD298" s="607">
        <v>39.1</v>
      </c>
      <c r="AE298" s="607">
        <v>368302.42</v>
      </c>
      <c r="AF298" s="148"/>
      <c r="AG298" s="148"/>
      <c r="AH298" s="148"/>
      <c r="AI298" s="607">
        <v>14.09</v>
      </c>
      <c r="AJ298" s="607">
        <v>130302.41</v>
      </c>
      <c r="AK298" s="148"/>
      <c r="AL298" s="148"/>
      <c r="AM298" s="148"/>
      <c r="AN298" s="607"/>
      <c r="AO298" s="607"/>
      <c r="AP298" s="148"/>
      <c r="AQ298" s="168">
        <v>50146.820000000007</v>
      </c>
      <c r="AR298" s="238">
        <v>62826.829999999994</v>
      </c>
      <c r="AU298" s="633">
        <f t="shared" si="24"/>
        <v>0</v>
      </c>
      <c r="AX298" s="358">
        <v>292</v>
      </c>
      <c r="AY298" s="301" t="s">
        <v>235</v>
      </c>
      <c r="AZ298" s="298" t="s">
        <v>236</v>
      </c>
      <c r="BA298" s="633">
        <f t="shared" si="25"/>
        <v>0</v>
      </c>
      <c r="BC298" s="196">
        <v>292</v>
      </c>
      <c r="BD298" s="73" t="s">
        <v>235</v>
      </c>
      <c r="BE298" s="298" t="s">
        <v>236</v>
      </c>
      <c r="BF298" s="168">
        <v>50146.820000000007</v>
      </c>
      <c r="BG298" s="168">
        <v>62914.939999999995</v>
      </c>
    </row>
    <row r="299" spans="1:59">
      <c r="A299" s="139" t="s">
        <v>403</v>
      </c>
      <c r="B299" s="233" t="s">
        <v>402</v>
      </c>
      <c r="C299" s="233" t="str">
        <f t="shared" si="26"/>
        <v>20400 TROUT LAKE SCHOOL DISTRICT</v>
      </c>
      <c r="D299" s="607"/>
      <c r="E299" s="607"/>
      <c r="F299" s="607"/>
      <c r="G299" s="607"/>
      <c r="H299" s="607">
        <v>35490.230000000003</v>
      </c>
      <c r="I299" s="607"/>
      <c r="J299" s="607">
        <v>59024.800000000003</v>
      </c>
      <c r="K299" s="607">
        <v>18749.37</v>
      </c>
      <c r="L299" s="607">
        <v>6410.94</v>
      </c>
      <c r="M299" s="607">
        <v>140412.42000000001</v>
      </c>
      <c r="N299" s="608">
        <v>3.5499999999999997E-2</v>
      </c>
      <c r="O299" s="608">
        <v>0.25059999999999999</v>
      </c>
      <c r="P299" s="607"/>
      <c r="Q299" s="607"/>
      <c r="R299" s="607"/>
      <c r="S299" s="607"/>
      <c r="T299" s="607"/>
      <c r="U299" s="607"/>
      <c r="V299" s="607"/>
      <c r="W299" s="607"/>
      <c r="X299" s="607"/>
      <c r="Y299" s="607">
        <v>168.79</v>
      </c>
      <c r="Z299" s="607"/>
      <c r="AA299" s="607"/>
      <c r="AB299" s="607"/>
      <c r="AC299" s="607">
        <v>26415.91</v>
      </c>
      <c r="AD299" s="607">
        <v>2.67</v>
      </c>
      <c r="AE299" s="607">
        <v>24878.43</v>
      </c>
      <c r="AF299" s="148"/>
      <c r="AG299" s="148"/>
      <c r="AH299" s="148"/>
      <c r="AI299" s="607"/>
      <c r="AJ299" s="607"/>
      <c r="AK299" s="148"/>
      <c r="AL299" s="148"/>
      <c r="AM299" s="148"/>
      <c r="AN299" s="607"/>
      <c r="AO299" s="607"/>
      <c r="AP299" s="148"/>
      <c r="AQ299" s="168">
        <v>0</v>
      </c>
      <c r="AR299" s="238">
        <v>28135.799999999996</v>
      </c>
      <c r="AU299" s="633">
        <f t="shared" si="24"/>
        <v>0</v>
      </c>
      <c r="AX299" s="358">
        <v>293</v>
      </c>
      <c r="AY299" s="301" t="s">
        <v>402</v>
      </c>
      <c r="AZ299" s="139" t="s">
        <v>403</v>
      </c>
      <c r="BA299" s="633">
        <f t="shared" si="25"/>
        <v>0</v>
      </c>
      <c r="BC299" s="196">
        <v>293</v>
      </c>
      <c r="BD299" s="73" t="s">
        <v>402</v>
      </c>
      <c r="BE299" s="139" t="s">
        <v>403</v>
      </c>
      <c r="BF299" s="168">
        <v>0</v>
      </c>
      <c r="BG299" s="168">
        <v>28225.529999999995</v>
      </c>
    </row>
    <row r="300" spans="1:59">
      <c r="A300" s="139" t="s">
        <v>357</v>
      </c>
      <c r="B300" s="233" t="s">
        <v>356</v>
      </c>
      <c r="C300" s="233" t="str">
        <f t="shared" si="26"/>
        <v>17406 TUKWILA  SCHOOL DISTRICT</v>
      </c>
      <c r="D300" s="607"/>
      <c r="E300" s="607">
        <v>144968.14000000001</v>
      </c>
      <c r="F300" s="607">
        <v>52473.35</v>
      </c>
      <c r="G300" s="607">
        <v>6063782.0700000003</v>
      </c>
      <c r="H300" s="607">
        <v>832443.93</v>
      </c>
      <c r="I300" s="607">
        <v>1036086.52</v>
      </c>
      <c r="J300" s="607">
        <v>1691437.09</v>
      </c>
      <c r="K300" s="607">
        <v>2603969.54</v>
      </c>
      <c r="L300" s="607">
        <v>96300.06</v>
      </c>
      <c r="M300" s="607">
        <v>1383108.28</v>
      </c>
      <c r="N300" s="608">
        <v>3.1300000000000001E-2</v>
      </c>
      <c r="O300" s="608">
        <v>0.1842</v>
      </c>
      <c r="P300" s="607"/>
      <c r="Q300" s="607"/>
      <c r="R300" s="607"/>
      <c r="S300" s="607"/>
      <c r="T300" s="607"/>
      <c r="U300" s="607"/>
      <c r="V300" s="607"/>
      <c r="W300" s="607"/>
      <c r="X300" s="607"/>
      <c r="Y300" s="607">
        <v>2304.12</v>
      </c>
      <c r="Z300" s="607">
        <v>323.42</v>
      </c>
      <c r="AA300" s="607">
        <v>161384.81</v>
      </c>
      <c r="AB300" s="607">
        <v>226256.59</v>
      </c>
      <c r="AC300" s="607">
        <v>2143909.79</v>
      </c>
      <c r="AD300" s="607">
        <v>182.38</v>
      </c>
      <c r="AE300" s="607">
        <v>1928240.21</v>
      </c>
      <c r="AF300" s="148"/>
      <c r="AG300" s="148"/>
      <c r="AH300" s="148"/>
      <c r="AI300" s="607">
        <v>20.23</v>
      </c>
      <c r="AJ300" s="607">
        <v>210106.81</v>
      </c>
      <c r="AK300" s="148"/>
      <c r="AL300" s="148"/>
      <c r="AM300" s="148"/>
      <c r="AN300" s="607"/>
      <c r="AO300" s="607"/>
      <c r="AP300" s="148"/>
      <c r="AQ300" s="168">
        <v>55712.95000000007</v>
      </c>
      <c r="AR300" s="238">
        <v>384252.48999999993</v>
      </c>
      <c r="AU300" s="633">
        <f t="shared" si="24"/>
        <v>0</v>
      </c>
      <c r="AX300" s="358">
        <v>294</v>
      </c>
      <c r="AY300" s="301" t="s">
        <v>356</v>
      </c>
      <c r="AZ300" s="139" t="s">
        <v>357</v>
      </c>
      <c r="BA300" s="633">
        <f t="shared" si="25"/>
        <v>0</v>
      </c>
      <c r="BC300" s="196">
        <v>294</v>
      </c>
      <c r="BD300" s="73" t="s">
        <v>356</v>
      </c>
      <c r="BE300" s="139" t="s">
        <v>357</v>
      </c>
      <c r="BF300" s="168">
        <v>55712.95000000007</v>
      </c>
      <c r="BG300" s="168">
        <v>345428.83999999991</v>
      </c>
    </row>
    <row r="301" spans="1:59">
      <c r="A301" s="139" t="s">
        <v>645</v>
      </c>
      <c r="B301" s="233" t="s">
        <v>644</v>
      </c>
      <c r="C301" s="233" t="str">
        <f t="shared" si="26"/>
        <v>34033 TUMWATER SCHOOL DISTRICT</v>
      </c>
      <c r="D301" s="607"/>
      <c r="E301" s="607">
        <v>41351.910000000003</v>
      </c>
      <c r="F301" s="607"/>
      <c r="G301" s="607">
        <v>12775446.68</v>
      </c>
      <c r="H301" s="607">
        <v>1927237.59</v>
      </c>
      <c r="I301" s="607">
        <v>51729.59</v>
      </c>
      <c r="J301" s="607">
        <v>1572004.93</v>
      </c>
      <c r="K301" s="607">
        <v>306203.37</v>
      </c>
      <c r="L301" s="607">
        <v>212445.05</v>
      </c>
      <c r="M301" s="607">
        <v>5061817.1100000003</v>
      </c>
      <c r="N301" s="608">
        <v>4.4699999999999997E-2</v>
      </c>
      <c r="O301" s="608">
        <v>0.15859999999999999</v>
      </c>
      <c r="P301" s="607"/>
      <c r="Q301" s="607"/>
      <c r="R301" s="607"/>
      <c r="S301" s="607">
        <v>143330.07999999999</v>
      </c>
      <c r="T301" s="607">
        <v>17061.68</v>
      </c>
      <c r="U301" s="607">
        <v>5923.05</v>
      </c>
      <c r="V301" s="607"/>
      <c r="W301" s="607"/>
      <c r="X301" s="607"/>
      <c r="Y301" s="607">
        <v>5061.37</v>
      </c>
      <c r="Z301" s="607">
        <v>21575.23</v>
      </c>
      <c r="AA301" s="607">
        <v>64725.68</v>
      </c>
      <c r="AB301" s="607">
        <v>1927880.37</v>
      </c>
      <c r="AC301" s="607">
        <v>4164518.9</v>
      </c>
      <c r="AD301" s="607">
        <v>394.33</v>
      </c>
      <c r="AE301" s="607">
        <v>3714289.47</v>
      </c>
      <c r="AF301" s="148"/>
      <c r="AG301" s="148"/>
      <c r="AH301" s="148"/>
      <c r="AI301" s="607">
        <v>196.44</v>
      </c>
      <c r="AJ301" s="607">
        <v>1814672.26</v>
      </c>
      <c r="AK301" s="148"/>
      <c r="AL301" s="148"/>
      <c r="AM301" s="148"/>
      <c r="AN301" s="607">
        <v>3226.3</v>
      </c>
      <c r="AO301" s="607"/>
      <c r="AP301" s="148"/>
      <c r="AQ301" s="168">
        <v>187763.1100000001</v>
      </c>
      <c r="AR301" s="238">
        <v>674307.49999999988</v>
      </c>
      <c r="AU301" s="633">
        <f t="shared" si="24"/>
        <v>0</v>
      </c>
      <c r="AX301" s="358">
        <v>295</v>
      </c>
      <c r="AY301" s="301" t="s">
        <v>644</v>
      </c>
      <c r="AZ301" s="139" t="s">
        <v>645</v>
      </c>
      <c r="BA301" s="633">
        <f t="shared" si="25"/>
        <v>0</v>
      </c>
      <c r="BC301" s="196">
        <v>295</v>
      </c>
      <c r="BD301" s="73" t="s">
        <v>644</v>
      </c>
      <c r="BE301" s="139" t="s">
        <v>645</v>
      </c>
      <c r="BF301" s="168">
        <v>187763.1100000001</v>
      </c>
      <c r="BG301" s="168">
        <v>595287.28999999992</v>
      </c>
    </row>
    <row r="302" spans="1:59">
      <c r="A302" s="139" t="s">
        <v>712</v>
      </c>
      <c r="B302" s="233" t="s">
        <v>711</v>
      </c>
      <c r="C302" s="233" t="str">
        <f t="shared" si="26"/>
        <v>39002 UNION GAP SCHOOL DISTRICT</v>
      </c>
      <c r="D302" s="607">
        <v>6056.29</v>
      </c>
      <c r="E302" s="607">
        <v>25542.02</v>
      </c>
      <c r="F302" s="607">
        <v>17807.7</v>
      </c>
      <c r="G302" s="607">
        <v>1099596.04</v>
      </c>
      <c r="H302" s="607">
        <v>165564.95000000001</v>
      </c>
      <c r="I302" s="607">
        <v>175084.79999999999</v>
      </c>
      <c r="J302" s="607">
        <v>337016.12</v>
      </c>
      <c r="K302" s="607">
        <v>167545.23000000001</v>
      </c>
      <c r="L302" s="607"/>
      <c r="M302" s="607">
        <v>200295.14</v>
      </c>
      <c r="N302" s="608">
        <v>4.5999999999999999E-2</v>
      </c>
      <c r="O302" s="608">
        <v>0.23749999999999999</v>
      </c>
      <c r="P302" s="607"/>
      <c r="Q302" s="607"/>
      <c r="R302" s="607"/>
      <c r="S302" s="607"/>
      <c r="T302" s="607"/>
      <c r="U302" s="607"/>
      <c r="V302" s="607"/>
      <c r="W302" s="607"/>
      <c r="X302" s="607"/>
      <c r="Y302" s="607">
        <v>440.83</v>
      </c>
      <c r="Z302" s="607"/>
      <c r="AA302" s="607"/>
      <c r="AB302" s="607"/>
      <c r="AC302" s="607"/>
      <c r="AD302" s="607"/>
      <c r="AE302" s="607"/>
      <c r="AF302" s="148"/>
      <c r="AG302" s="148"/>
      <c r="AH302" s="148"/>
      <c r="AI302" s="607"/>
      <c r="AJ302" s="607"/>
      <c r="AK302" s="148"/>
      <c r="AL302" s="148"/>
      <c r="AM302" s="148"/>
      <c r="AN302" s="607"/>
      <c r="AO302" s="607"/>
      <c r="AP302" s="148"/>
      <c r="AQ302" s="168">
        <v>28434.430000000051</v>
      </c>
      <c r="AR302" s="238">
        <v>67728.690000000017</v>
      </c>
      <c r="AU302" s="633">
        <f t="shared" si="24"/>
        <v>0</v>
      </c>
      <c r="AX302" s="358">
        <v>296</v>
      </c>
      <c r="AY302" s="301" t="s">
        <v>711</v>
      </c>
      <c r="AZ302" s="139" t="s">
        <v>712</v>
      </c>
      <c r="BA302" s="633">
        <f t="shared" si="25"/>
        <v>0</v>
      </c>
      <c r="BC302" s="196">
        <v>296</v>
      </c>
      <c r="BD302" s="73" t="s">
        <v>711</v>
      </c>
      <c r="BE302" s="139" t="s">
        <v>712</v>
      </c>
      <c r="BF302" s="168">
        <v>28434.430000000051</v>
      </c>
      <c r="BG302" s="168">
        <v>58144.45</v>
      </c>
    </row>
    <row r="303" spans="1:59">
      <c r="A303" s="139" t="s">
        <v>514</v>
      </c>
      <c r="B303" s="233" t="s">
        <v>513</v>
      </c>
      <c r="C303" s="233" t="str">
        <f t="shared" si="26"/>
        <v>27083 UNIVERSITY PLACE SCHOOL DISTRICT</v>
      </c>
      <c r="D303" s="607"/>
      <c r="E303" s="607">
        <v>0.55000000000000004</v>
      </c>
      <c r="F303" s="607"/>
      <c r="G303" s="607">
        <v>8538552.2799999993</v>
      </c>
      <c r="H303" s="607">
        <v>1144037.24</v>
      </c>
      <c r="I303" s="607"/>
      <c r="J303" s="607">
        <v>1650988.32</v>
      </c>
      <c r="K303" s="607">
        <v>885562.56</v>
      </c>
      <c r="L303" s="607">
        <v>192067.46</v>
      </c>
      <c r="M303" s="607">
        <v>3145091</v>
      </c>
      <c r="N303" s="608">
        <v>3.95E-2</v>
      </c>
      <c r="O303" s="608">
        <v>0.16789999999999999</v>
      </c>
      <c r="P303" s="607"/>
      <c r="Q303" s="607"/>
      <c r="R303" s="607"/>
      <c r="S303" s="607"/>
      <c r="T303" s="607"/>
      <c r="U303" s="607"/>
      <c r="V303" s="607"/>
      <c r="W303" s="607"/>
      <c r="X303" s="607"/>
      <c r="Y303" s="607">
        <v>4721.32</v>
      </c>
      <c r="Z303" s="607"/>
      <c r="AA303" s="607"/>
      <c r="AB303" s="607"/>
      <c r="AC303" s="607">
        <v>2945647.78</v>
      </c>
      <c r="AD303" s="607">
        <v>271.86</v>
      </c>
      <c r="AE303" s="607">
        <v>2715743.12</v>
      </c>
      <c r="AF303" s="148"/>
      <c r="AG303" s="148"/>
      <c r="AH303" s="148"/>
      <c r="AI303" s="607"/>
      <c r="AJ303" s="607"/>
      <c r="AK303" s="148"/>
      <c r="AL303" s="148"/>
      <c r="AM303" s="148"/>
      <c r="AN303" s="607"/>
      <c r="AO303" s="607"/>
      <c r="AP303" s="148"/>
      <c r="AQ303" s="168">
        <v>27831.730000000331</v>
      </c>
      <c r="AR303" s="238">
        <v>613736.21</v>
      </c>
      <c r="AU303" s="633">
        <f t="shared" si="24"/>
        <v>0</v>
      </c>
      <c r="AX303" s="358">
        <v>297</v>
      </c>
      <c r="AY303" s="301" t="s">
        <v>513</v>
      </c>
      <c r="AZ303" s="139" t="s">
        <v>514</v>
      </c>
      <c r="BA303" s="633">
        <f t="shared" si="25"/>
        <v>0</v>
      </c>
      <c r="BC303" s="196">
        <v>297</v>
      </c>
      <c r="BD303" s="73" t="s">
        <v>513</v>
      </c>
      <c r="BE303" s="139" t="s">
        <v>514</v>
      </c>
      <c r="BF303" s="168">
        <v>27831.730000000331</v>
      </c>
      <c r="BG303" s="168">
        <v>561716.64</v>
      </c>
    </row>
    <row r="304" spans="1:59">
      <c r="A304" s="139" t="s">
        <v>625</v>
      </c>
      <c r="B304" s="233" t="s">
        <v>624</v>
      </c>
      <c r="C304" s="233" t="str">
        <f t="shared" si="26"/>
        <v>33070 VALLEY SCHOOL DISTRICT</v>
      </c>
      <c r="D304" s="607"/>
      <c r="E304" s="607"/>
      <c r="F304" s="607"/>
      <c r="G304" s="607">
        <v>1314688.21</v>
      </c>
      <c r="H304" s="607">
        <v>221678.36</v>
      </c>
      <c r="I304" s="607">
        <v>63777.73</v>
      </c>
      <c r="J304" s="607">
        <v>177737.59</v>
      </c>
      <c r="K304" s="607">
        <v>79139.77</v>
      </c>
      <c r="L304" s="607">
        <v>31059.85</v>
      </c>
      <c r="M304" s="607">
        <v>1336907.3600000001</v>
      </c>
      <c r="N304" s="608">
        <v>6.7400000000000002E-2</v>
      </c>
      <c r="O304" s="608">
        <v>0.26919999999999999</v>
      </c>
      <c r="P304" s="607"/>
      <c r="Q304" s="607"/>
      <c r="R304" s="607"/>
      <c r="S304" s="607"/>
      <c r="T304" s="607"/>
      <c r="U304" s="607"/>
      <c r="V304" s="607"/>
      <c r="W304" s="607"/>
      <c r="X304" s="607"/>
      <c r="Y304" s="607">
        <v>850.53</v>
      </c>
      <c r="Z304" s="607"/>
      <c r="AA304" s="607"/>
      <c r="AB304" s="607"/>
      <c r="AC304" s="607">
        <v>726.32</v>
      </c>
      <c r="AD304" s="607"/>
      <c r="AE304" s="607"/>
      <c r="AF304" s="148"/>
      <c r="AG304" s="148"/>
      <c r="AH304" s="148"/>
      <c r="AI304" s="607"/>
      <c r="AJ304" s="607"/>
      <c r="AK304" s="148"/>
      <c r="AL304" s="148"/>
      <c r="AM304" s="148"/>
      <c r="AN304" s="607"/>
      <c r="AO304" s="607"/>
      <c r="AP304" s="148"/>
      <c r="AQ304" s="168">
        <v>7475.5700000000143</v>
      </c>
      <c r="AR304" s="238">
        <v>49116.460000000006</v>
      </c>
      <c r="AU304" s="633">
        <f t="shared" ref="AU304:AU336" si="27">+B304-AY304</f>
        <v>0</v>
      </c>
      <c r="AX304" s="358">
        <v>298</v>
      </c>
      <c r="AY304" s="301" t="s">
        <v>624</v>
      </c>
      <c r="AZ304" s="139" t="s">
        <v>625</v>
      </c>
      <c r="BA304" s="633">
        <f t="shared" si="25"/>
        <v>0</v>
      </c>
      <c r="BC304" s="196">
        <v>298</v>
      </c>
      <c r="BD304" s="73" t="s">
        <v>624</v>
      </c>
      <c r="BE304" s="139" t="s">
        <v>625</v>
      </c>
      <c r="BF304" s="168">
        <v>7475.5700000000143</v>
      </c>
      <c r="BG304" s="168">
        <v>38286.65</v>
      </c>
    </row>
    <row r="305" spans="1:59">
      <c r="A305" s="139" t="s">
        <v>214</v>
      </c>
      <c r="B305" s="233" t="s">
        <v>213</v>
      </c>
      <c r="C305" s="233" t="str">
        <f t="shared" si="26"/>
        <v>06037 VANCOUVER SCHOOL DISTRICT</v>
      </c>
      <c r="D305" s="607"/>
      <c r="E305" s="607">
        <v>584224.43999999994</v>
      </c>
      <c r="F305" s="607">
        <v>295774.36</v>
      </c>
      <c r="G305" s="607">
        <v>56610911.329999998</v>
      </c>
      <c r="H305" s="607">
        <v>8404475.0199999996</v>
      </c>
      <c r="I305" s="607">
        <v>4137030.67</v>
      </c>
      <c r="J305" s="607">
        <v>7808077.4199999999</v>
      </c>
      <c r="K305" s="607">
        <v>6850438.7999999998</v>
      </c>
      <c r="L305" s="607">
        <v>680034.36</v>
      </c>
      <c r="M305" s="607">
        <v>15744146.52</v>
      </c>
      <c r="N305" s="608">
        <v>5.9400000000000001E-2</v>
      </c>
      <c r="O305" s="608">
        <v>0.16569999999999999</v>
      </c>
      <c r="P305" s="607"/>
      <c r="Q305" s="607"/>
      <c r="R305" s="607"/>
      <c r="S305" s="607"/>
      <c r="T305" s="607"/>
      <c r="U305" s="607"/>
      <c r="V305" s="607"/>
      <c r="W305" s="607"/>
      <c r="X305" s="607"/>
      <c r="Y305" s="607">
        <v>8799.42</v>
      </c>
      <c r="Z305" s="607">
        <v>245570.01</v>
      </c>
      <c r="AA305" s="607">
        <v>1007338.2</v>
      </c>
      <c r="AB305" s="607">
        <v>3068796.12</v>
      </c>
      <c r="AC305" s="607">
        <v>16134208.6</v>
      </c>
      <c r="AD305" s="607">
        <v>1584.8</v>
      </c>
      <c r="AE305" s="607">
        <v>15537181.59</v>
      </c>
      <c r="AF305" s="148"/>
      <c r="AG305" s="148"/>
      <c r="AH305" s="148"/>
      <c r="AI305" s="607">
        <v>301.97000000000003</v>
      </c>
      <c r="AJ305" s="607">
        <v>2906141.98</v>
      </c>
      <c r="AK305" s="148"/>
      <c r="AL305" s="148"/>
      <c r="AM305" s="148"/>
      <c r="AN305" s="607"/>
      <c r="AO305" s="607">
        <v>29.76</v>
      </c>
      <c r="AP305" s="148"/>
      <c r="AQ305" s="168">
        <v>0</v>
      </c>
      <c r="AR305" s="238">
        <v>2451684</v>
      </c>
      <c r="AU305" s="633">
        <f t="shared" si="27"/>
        <v>0</v>
      </c>
      <c r="AX305" s="358">
        <v>299</v>
      </c>
      <c r="AY305" s="301" t="s">
        <v>213</v>
      </c>
      <c r="AZ305" s="139" t="s">
        <v>214</v>
      </c>
      <c r="BA305" s="633">
        <f t="shared" si="25"/>
        <v>0</v>
      </c>
      <c r="BC305" s="196">
        <v>299</v>
      </c>
      <c r="BD305" s="73" t="s">
        <v>213</v>
      </c>
      <c r="BE305" s="139" t="s">
        <v>214</v>
      </c>
      <c r="BF305" s="168">
        <v>0</v>
      </c>
      <c r="BG305" s="168">
        <v>2100359.02</v>
      </c>
    </row>
    <row r="306" spans="1:59">
      <c r="A306" s="139" t="s">
        <v>349</v>
      </c>
      <c r="B306" s="233" t="s">
        <v>348</v>
      </c>
      <c r="C306" s="233" t="str">
        <f t="shared" si="26"/>
        <v>17402 VASHON ISLAND SCHOOL DISTRICT</v>
      </c>
      <c r="D306" s="607"/>
      <c r="E306" s="607"/>
      <c r="F306" s="607">
        <v>1495.96</v>
      </c>
      <c r="G306" s="607">
        <v>2778526.01</v>
      </c>
      <c r="H306" s="607">
        <v>408703.57</v>
      </c>
      <c r="I306" s="607">
        <v>18845.91</v>
      </c>
      <c r="J306" s="607">
        <v>311334.21999999997</v>
      </c>
      <c r="K306" s="607">
        <v>181893.27</v>
      </c>
      <c r="L306" s="607">
        <v>48999.33</v>
      </c>
      <c r="M306" s="607">
        <v>1345812.62</v>
      </c>
      <c r="N306" s="608">
        <v>4.3999999999999997E-2</v>
      </c>
      <c r="O306" s="608">
        <v>0.2374</v>
      </c>
      <c r="P306" s="607"/>
      <c r="Q306" s="607"/>
      <c r="R306" s="607"/>
      <c r="S306" s="607"/>
      <c r="T306" s="607"/>
      <c r="U306" s="607"/>
      <c r="V306" s="607"/>
      <c r="W306" s="607"/>
      <c r="X306" s="607"/>
      <c r="Y306" s="607">
        <v>1121.74</v>
      </c>
      <c r="Z306" s="607">
        <v>4364.05</v>
      </c>
      <c r="AA306" s="607"/>
      <c r="AB306" s="607">
        <v>460168.69</v>
      </c>
      <c r="AC306" s="607">
        <v>709587.65</v>
      </c>
      <c r="AD306" s="607">
        <v>65.19</v>
      </c>
      <c r="AE306" s="607">
        <v>676241.77</v>
      </c>
      <c r="AF306" s="148"/>
      <c r="AG306" s="148"/>
      <c r="AH306" s="148"/>
      <c r="AI306" s="607">
        <v>42.48</v>
      </c>
      <c r="AJ306" s="607">
        <v>433149.74</v>
      </c>
      <c r="AK306" s="148"/>
      <c r="AL306" s="148"/>
      <c r="AM306" s="148"/>
      <c r="AN306" s="607"/>
      <c r="AO306" s="607"/>
      <c r="AP306" s="148"/>
      <c r="AQ306" s="168">
        <v>5016.9400000000023</v>
      </c>
      <c r="AR306" s="238">
        <v>150204.97</v>
      </c>
      <c r="AU306" s="633">
        <f t="shared" si="27"/>
        <v>0</v>
      </c>
      <c r="AX306" s="358">
        <v>300</v>
      </c>
      <c r="AY306" s="301" t="s">
        <v>348</v>
      </c>
      <c r="AZ306" s="139" t="s">
        <v>349</v>
      </c>
      <c r="BA306" s="633">
        <f t="shared" si="25"/>
        <v>0</v>
      </c>
      <c r="BC306" s="196">
        <v>300</v>
      </c>
      <c r="BD306" s="73" t="s">
        <v>348</v>
      </c>
      <c r="BE306" s="139" t="s">
        <v>349</v>
      </c>
      <c r="BF306" s="168">
        <v>5016.9400000000023</v>
      </c>
      <c r="BG306" s="168">
        <v>129191.98000000001</v>
      </c>
    </row>
    <row r="307" spans="1:59">
      <c r="A307" t="s">
        <v>1502</v>
      </c>
      <c r="B307" s="233" t="s">
        <v>1503</v>
      </c>
      <c r="C307" s="233" t="str">
        <f>CONCATENATE(B307," ",A307," TRIBAL COMPACT")</f>
        <v>34901 WA HE LUT TRIBAL COMPACT</v>
      </c>
      <c r="D307" s="607">
        <v>24840.53</v>
      </c>
      <c r="E307" s="607"/>
      <c r="F307" s="607">
        <v>4170.29</v>
      </c>
      <c r="G307" s="607">
        <v>314161.67</v>
      </c>
      <c r="H307" s="607">
        <v>59151.59</v>
      </c>
      <c r="I307" s="607">
        <v>43771.199999999997</v>
      </c>
      <c r="J307" s="607">
        <v>94727.06</v>
      </c>
      <c r="K307" s="607"/>
      <c r="L307" s="607"/>
      <c r="M307" s="607">
        <v>265924.83</v>
      </c>
      <c r="N307" s="608">
        <v>3.8699999999999998E-2</v>
      </c>
      <c r="O307" s="608">
        <v>0.1535</v>
      </c>
      <c r="P307" s="607"/>
      <c r="Q307" s="607"/>
      <c r="R307" s="607"/>
      <c r="S307" s="607"/>
      <c r="T307" s="607"/>
      <c r="U307" s="607"/>
      <c r="V307" s="607"/>
      <c r="W307" s="607"/>
      <c r="X307" s="607"/>
      <c r="Y307" s="607"/>
      <c r="Z307" s="607"/>
      <c r="AA307" s="607"/>
      <c r="AB307" s="607"/>
      <c r="AC307" s="607"/>
      <c r="AD307" s="607"/>
      <c r="AE307" s="607"/>
      <c r="AF307" s="148"/>
      <c r="AG307" s="148"/>
      <c r="AH307" s="148"/>
      <c r="AI307" s="607"/>
      <c r="AJ307" s="607"/>
      <c r="AK307" s="148"/>
      <c r="AL307" s="148"/>
      <c r="AM307" s="148"/>
      <c r="AN307" s="607"/>
      <c r="AO307" s="607"/>
      <c r="AP307" s="148"/>
      <c r="AQ307" s="168">
        <v>0</v>
      </c>
      <c r="AR307" s="238">
        <v>16983.609999999997</v>
      </c>
      <c r="AU307" s="633">
        <f t="shared" si="27"/>
        <v>0</v>
      </c>
      <c r="AX307" s="358">
        <v>301</v>
      </c>
      <c r="AY307" s="312" t="s">
        <v>1503</v>
      </c>
      <c r="AZ307" t="s">
        <v>1502</v>
      </c>
      <c r="BA307" s="633">
        <f t="shared" si="25"/>
        <v>0</v>
      </c>
      <c r="BC307" s="196">
        <v>301</v>
      </c>
      <c r="BD307" s="73" t="s">
        <v>1503</v>
      </c>
      <c r="BE307" t="s">
        <v>1502</v>
      </c>
      <c r="BF307" s="168">
        <v>0</v>
      </c>
      <c r="BG307" s="168">
        <v>14314.33</v>
      </c>
    </row>
    <row r="308" spans="1:59">
      <c r="A308" s="139" t="s">
        <v>657</v>
      </c>
      <c r="B308" s="235" t="s">
        <v>656</v>
      </c>
      <c r="C308" s="233" t="str">
        <f t="shared" ref="C308:C320" si="28">CONCATENATE(B308," ",A308," SCHOOL DISTRICT")</f>
        <v>35200 WAHKIAKUM SCHOOL DISTRICT</v>
      </c>
      <c r="D308" s="607"/>
      <c r="E308" s="607">
        <v>16976.59</v>
      </c>
      <c r="F308" s="607">
        <v>13480.42</v>
      </c>
      <c r="G308" s="607"/>
      <c r="H308" s="607">
        <v>137830.5</v>
      </c>
      <c r="I308" s="607">
        <v>133725.22</v>
      </c>
      <c r="J308" s="607">
        <v>168356.59</v>
      </c>
      <c r="K308" s="607">
        <v>16344.08</v>
      </c>
      <c r="L308" s="607">
        <v>13143.92</v>
      </c>
      <c r="M308" s="607">
        <v>374104.85</v>
      </c>
      <c r="N308" s="608">
        <v>6.3399999999999998E-2</v>
      </c>
      <c r="O308" s="608">
        <v>0.32969999999999999</v>
      </c>
      <c r="P308" s="607"/>
      <c r="Q308" s="607"/>
      <c r="R308" s="607"/>
      <c r="S308" s="607"/>
      <c r="T308" s="607"/>
      <c r="U308" s="607"/>
      <c r="V308" s="607"/>
      <c r="W308" s="607"/>
      <c r="X308" s="607"/>
      <c r="Y308" s="607"/>
      <c r="Z308" s="607"/>
      <c r="AA308" s="607">
        <v>2655</v>
      </c>
      <c r="AB308" s="607">
        <v>50184.4</v>
      </c>
      <c r="AC308" s="607">
        <v>244608.29</v>
      </c>
      <c r="AD308" s="607">
        <v>23.66</v>
      </c>
      <c r="AE308" s="607">
        <v>227268.33</v>
      </c>
      <c r="AF308" s="148"/>
      <c r="AG308" s="148"/>
      <c r="AH308" s="148"/>
      <c r="AI308" s="607">
        <v>5.05</v>
      </c>
      <c r="AJ308" s="607">
        <v>47623.66</v>
      </c>
      <c r="AK308" s="148"/>
      <c r="AL308" s="148"/>
      <c r="AM308" s="148"/>
      <c r="AN308" s="607"/>
      <c r="AO308" s="607">
        <v>4957.67</v>
      </c>
      <c r="AP308" s="148"/>
      <c r="AQ308" s="168">
        <v>19437.749999999993</v>
      </c>
      <c r="AR308" s="238">
        <v>45762.95</v>
      </c>
      <c r="AU308" s="633">
        <f t="shared" si="27"/>
        <v>0</v>
      </c>
      <c r="AX308" s="358">
        <v>302</v>
      </c>
      <c r="AY308" s="301" t="s">
        <v>656</v>
      </c>
      <c r="AZ308" s="139" t="s">
        <v>657</v>
      </c>
      <c r="BA308" s="633">
        <f t="shared" si="25"/>
        <v>0</v>
      </c>
      <c r="BC308" s="196">
        <v>302</v>
      </c>
      <c r="BD308" s="173" t="s">
        <v>656</v>
      </c>
      <c r="BE308" s="139" t="s">
        <v>657</v>
      </c>
      <c r="BF308" s="168">
        <v>19437.749999999993</v>
      </c>
      <c r="BG308" s="168">
        <v>45852.969999999994</v>
      </c>
    </row>
    <row r="309" spans="1:59">
      <c r="A309" s="139" t="s">
        <v>278</v>
      </c>
      <c r="B309" s="233" t="s">
        <v>277</v>
      </c>
      <c r="C309" s="233" t="str">
        <f t="shared" si="28"/>
        <v>13073 WAHLUKE SCHOOL DISTRICT</v>
      </c>
      <c r="D309" s="607"/>
      <c r="E309" s="607"/>
      <c r="F309" s="607">
        <v>4958.3999999999996</v>
      </c>
      <c r="G309" s="607">
        <v>4533274.75</v>
      </c>
      <c r="H309" s="607">
        <v>633307.80000000005</v>
      </c>
      <c r="I309" s="607">
        <v>749747.52</v>
      </c>
      <c r="J309" s="607">
        <v>1508337.73</v>
      </c>
      <c r="K309" s="607">
        <v>2229757.89</v>
      </c>
      <c r="L309" s="607">
        <v>69746.53</v>
      </c>
      <c r="M309" s="607">
        <v>1704650.61</v>
      </c>
      <c r="N309" s="608">
        <v>4.8300000000000003E-2</v>
      </c>
      <c r="O309" s="608">
        <v>0.15240000000000001</v>
      </c>
      <c r="P309" s="607"/>
      <c r="Q309" s="607"/>
      <c r="R309" s="607"/>
      <c r="S309" s="607"/>
      <c r="T309" s="607"/>
      <c r="U309" s="607"/>
      <c r="V309" s="607"/>
      <c r="W309" s="607"/>
      <c r="X309" s="607"/>
      <c r="Y309" s="607">
        <v>1947.69</v>
      </c>
      <c r="Z309" s="607">
        <v>32494.42</v>
      </c>
      <c r="AA309" s="607">
        <v>37386.050000000003</v>
      </c>
      <c r="AB309" s="607">
        <v>1038523.15</v>
      </c>
      <c r="AC309" s="607">
        <v>1776045.87</v>
      </c>
      <c r="AD309" s="607">
        <v>174.9</v>
      </c>
      <c r="AE309" s="607">
        <v>1647469.9</v>
      </c>
      <c r="AF309" s="148"/>
      <c r="AG309" s="148"/>
      <c r="AH309" s="148"/>
      <c r="AI309" s="607">
        <v>106.22</v>
      </c>
      <c r="AJ309" s="607">
        <v>981353.79</v>
      </c>
      <c r="AK309" s="148"/>
      <c r="AL309" s="148"/>
      <c r="AM309" s="148"/>
      <c r="AN309" s="607">
        <v>2080</v>
      </c>
      <c r="AO309" s="607">
        <v>552213</v>
      </c>
      <c r="AP309" s="148"/>
      <c r="AQ309" s="168">
        <v>0</v>
      </c>
      <c r="AR309" s="238">
        <v>278148.95</v>
      </c>
      <c r="AU309" s="633">
        <f t="shared" si="27"/>
        <v>0</v>
      </c>
      <c r="AX309" s="358">
        <v>303</v>
      </c>
      <c r="AY309" s="301" t="s">
        <v>277</v>
      </c>
      <c r="AZ309" s="139" t="s">
        <v>278</v>
      </c>
      <c r="BA309" s="633">
        <f t="shared" si="25"/>
        <v>0</v>
      </c>
      <c r="BC309" s="196">
        <v>303</v>
      </c>
      <c r="BD309" s="73" t="s">
        <v>277</v>
      </c>
      <c r="BE309" s="139" t="s">
        <v>278</v>
      </c>
      <c r="BF309" s="168">
        <v>0</v>
      </c>
      <c r="BG309" s="168">
        <v>255442.25</v>
      </c>
    </row>
    <row r="310" spans="1:59">
      <c r="A310" s="139" t="s">
        <v>668</v>
      </c>
      <c r="B310" s="233" t="s">
        <v>667</v>
      </c>
      <c r="C310" s="233" t="str">
        <f t="shared" si="28"/>
        <v>36401 WAITSBURG SCHOOL DISTRICT</v>
      </c>
      <c r="D310" s="607"/>
      <c r="E310" s="607">
        <v>7239.17</v>
      </c>
      <c r="F310" s="607"/>
      <c r="G310" s="607"/>
      <c r="H310" s="607">
        <v>60627.46</v>
      </c>
      <c r="I310" s="607">
        <v>61898.67</v>
      </c>
      <c r="J310" s="607">
        <v>111970.26</v>
      </c>
      <c r="K310" s="607"/>
      <c r="L310" s="607"/>
      <c r="M310" s="607">
        <v>132504.24</v>
      </c>
      <c r="N310" s="608">
        <v>5.5599999999999997E-2</v>
      </c>
      <c r="O310" s="608">
        <v>0.3049</v>
      </c>
      <c r="P310" s="607"/>
      <c r="Q310" s="607"/>
      <c r="R310" s="607"/>
      <c r="S310" s="607"/>
      <c r="T310" s="607"/>
      <c r="U310" s="607"/>
      <c r="V310" s="607"/>
      <c r="W310" s="607"/>
      <c r="X310" s="607"/>
      <c r="Y310" s="607">
        <v>248.27</v>
      </c>
      <c r="Z310" s="607"/>
      <c r="AA310" s="607"/>
      <c r="AB310" s="607">
        <v>25209.59</v>
      </c>
      <c r="AC310" s="607">
        <v>161916.15</v>
      </c>
      <c r="AD310" s="607">
        <v>13.76</v>
      </c>
      <c r="AE310" s="607">
        <v>129706.89</v>
      </c>
      <c r="AF310" s="148"/>
      <c r="AG310" s="148"/>
      <c r="AH310" s="148"/>
      <c r="AI310" s="607">
        <v>2.58</v>
      </c>
      <c r="AJ310" s="607">
        <v>23772.63</v>
      </c>
      <c r="AK310" s="148"/>
      <c r="AL310" s="148"/>
      <c r="AM310" s="148"/>
      <c r="AN310" s="607"/>
      <c r="AO310" s="607"/>
      <c r="AP310" s="148"/>
      <c r="AQ310" s="168">
        <v>39514.14999999998</v>
      </c>
      <c r="AR310" s="238">
        <v>34015.800000000003</v>
      </c>
      <c r="AU310" s="633">
        <f t="shared" si="27"/>
        <v>0</v>
      </c>
      <c r="AX310" s="358">
        <v>304</v>
      </c>
      <c r="AY310" s="301" t="s">
        <v>667</v>
      </c>
      <c r="AZ310" s="139" t="s">
        <v>668</v>
      </c>
      <c r="BA310" s="633">
        <f t="shared" si="25"/>
        <v>0</v>
      </c>
      <c r="BC310" s="196">
        <v>304</v>
      </c>
      <c r="BD310" s="73" t="s">
        <v>667</v>
      </c>
      <c r="BE310" s="139" t="s">
        <v>668</v>
      </c>
      <c r="BF310" s="168">
        <v>39514.14999999998</v>
      </c>
      <c r="BG310" s="168">
        <v>34104.480000000003</v>
      </c>
    </row>
    <row r="311" spans="1:59">
      <c r="A311" s="139" t="s">
        <v>661</v>
      </c>
      <c r="B311" s="233" t="s">
        <v>660</v>
      </c>
      <c r="C311" s="233" t="str">
        <f t="shared" si="28"/>
        <v>36140 WALLA WALLA SCHOOL DISTRICT</v>
      </c>
      <c r="D311" s="607"/>
      <c r="E311" s="607"/>
      <c r="F311" s="607">
        <v>59460.04</v>
      </c>
      <c r="G311" s="607">
        <v>10572852.91</v>
      </c>
      <c r="H311" s="607">
        <v>1779069.2</v>
      </c>
      <c r="I311" s="607">
        <v>1674248.26</v>
      </c>
      <c r="J311" s="607">
        <v>2238631.4</v>
      </c>
      <c r="K311" s="607">
        <v>1380040.82</v>
      </c>
      <c r="L311" s="607">
        <v>163920.93</v>
      </c>
      <c r="M311" s="607">
        <v>2316460.44</v>
      </c>
      <c r="N311" s="608">
        <v>6.3600000000000004E-2</v>
      </c>
      <c r="O311" s="608">
        <v>0.20530000000000001</v>
      </c>
      <c r="P311" s="607"/>
      <c r="Q311" s="607"/>
      <c r="R311" s="607"/>
      <c r="S311" s="607">
        <v>166273.20000000001</v>
      </c>
      <c r="T311" s="607">
        <v>6977.3</v>
      </c>
      <c r="U311" s="607">
        <v>6096.07</v>
      </c>
      <c r="V311" s="607"/>
      <c r="W311" s="607"/>
      <c r="X311" s="607"/>
      <c r="Y311" s="607">
        <v>4256.7299999999996</v>
      </c>
      <c r="Z311" s="607"/>
      <c r="AA311" s="607">
        <v>269320.14</v>
      </c>
      <c r="AB311" s="607">
        <v>609462.65</v>
      </c>
      <c r="AC311" s="607">
        <v>2660889.7799999998</v>
      </c>
      <c r="AD311" s="607">
        <v>251.27</v>
      </c>
      <c r="AE311" s="607">
        <v>2366558.2400000002</v>
      </c>
      <c r="AF311" s="148"/>
      <c r="AG311" s="148"/>
      <c r="AH311" s="148"/>
      <c r="AI311" s="607">
        <v>62.45</v>
      </c>
      <c r="AJ311" s="607">
        <v>577170.6</v>
      </c>
      <c r="AK311" s="148"/>
      <c r="AL311" s="148"/>
      <c r="AM311" s="148"/>
      <c r="AN311" s="607"/>
      <c r="AO311" s="607"/>
      <c r="AP311" s="148"/>
      <c r="AQ311" s="168">
        <v>383219.9099999998</v>
      </c>
      <c r="AR311" s="238">
        <v>579120.65999999992</v>
      </c>
      <c r="AU311" s="633">
        <f t="shared" si="27"/>
        <v>0</v>
      </c>
      <c r="AX311" s="358">
        <v>305</v>
      </c>
      <c r="AY311" s="301" t="s">
        <v>660</v>
      </c>
      <c r="AZ311" s="139" t="s">
        <v>661</v>
      </c>
      <c r="BA311" s="633">
        <f t="shared" si="25"/>
        <v>0</v>
      </c>
      <c r="BC311" s="196">
        <v>305</v>
      </c>
      <c r="BD311" s="73" t="s">
        <v>660</v>
      </c>
      <c r="BE311" s="139" t="s">
        <v>661</v>
      </c>
      <c r="BF311" s="168">
        <v>383219.9099999998</v>
      </c>
      <c r="BG311" s="168">
        <v>489338.67000000004</v>
      </c>
    </row>
    <row r="312" spans="1:59">
      <c r="A312" s="139" t="s">
        <v>735</v>
      </c>
      <c r="B312" s="233" t="s">
        <v>734</v>
      </c>
      <c r="C312" s="233" t="str">
        <f t="shared" si="28"/>
        <v>39207 WAPATO SCHOOL DISTRICT</v>
      </c>
      <c r="D312" s="607"/>
      <c r="E312" s="607">
        <v>86907.55</v>
      </c>
      <c r="F312" s="607">
        <v>90252.12</v>
      </c>
      <c r="G312" s="607">
        <v>5099684.91</v>
      </c>
      <c r="H312" s="607">
        <v>921154.37</v>
      </c>
      <c r="I312" s="607">
        <v>1002537.24</v>
      </c>
      <c r="J312" s="607">
        <v>1865802.51</v>
      </c>
      <c r="K312" s="607">
        <v>1875045.98</v>
      </c>
      <c r="L312" s="607">
        <v>92184.8</v>
      </c>
      <c r="M312" s="607">
        <v>1905274.08</v>
      </c>
      <c r="N312" s="608">
        <v>3.4500000000000003E-2</v>
      </c>
      <c r="O312" s="608">
        <v>0.16520000000000001</v>
      </c>
      <c r="P312" s="607"/>
      <c r="Q312" s="607"/>
      <c r="R312" s="607"/>
      <c r="S312" s="607"/>
      <c r="T312" s="607"/>
      <c r="U312" s="607"/>
      <c r="V312" s="607"/>
      <c r="W312" s="607"/>
      <c r="X312" s="607"/>
      <c r="Y312" s="607">
        <v>1628.95</v>
      </c>
      <c r="Z312" s="607">
        <v>52911.08</v>
      </c>
      <c r="AA312" s="607">
        <v>211644.32</v>
      </c>
      <c r="AB312" s="607">
        <v>513534.86</v>
      </c>
      <c r="AC312" s="607">
        <v>2265968.54</v>
      </c>
      <c r="AD312" s="607">
        <v>225.38</v>
      </c>
      <c r="AE312" s="607">
        <v>2122888.4</v>
      </c>
      <c r="AF312" s="148"/>
      <c r="AG312" s="148"/>
      <c r="AH312" s="148"/>
      <c r="AI312" s="607">
        <v>51.78</v>
      </c>
      <c r="AJ312" s="607">
        <v>478318.24</v>
      </c>
      <c r="AK312" s="148"/>
      <c r="AL312" s="148"/>
      <c r="AM312" s="148"/>
      <c r="AN312" s="607"/>
      <c r="AO312" s="607"/>
      <c r="AP312" s="148"/>
      <c r="AQ312" s="168">
        <v>686172.82</v>
      </c>
      <c r="AR312" s="238">
        <v>370531.58</v>
      </c>
      <c r="AU312" s="633">
        <f t="shared" si="27"/>
        <v>0</v>
      </c>
      <c r="AX312" s="358">
        <v>306</v>
      </c>
      <c r="AY312" s="301" t="s">
        <v>734</v>
      </c>
      <c r="AZ312" s="139" t="s">
        <v>735</v>
      </c>
      <c r="BA312" s="633">
        <f t="shared" si="25"/>
        <v>0</v>
      </c>
      <c r="BC312" s="196">
        <v>306</v>
      </c>
      <c r="BD312" s="73" t="s">
        <v>734</v>
      </c>
      <c r="BE312" s="139" t="s">
        <v>735</v>
      </c>
      <c r="BF312" s="168">
        <v>686172.82</v>
      </c>
      <c r="BG312" s="168">
        <v>326763.12</v>
      </c>
    </row>
    <row r="313" spans="1:59">
      <c r="A313" s="139" t="s">
        <v>282</v>
      </c>
      <c r="B313" s="233" t="s">
        <v>281</v>
      </c>
      <c r="C313" s="233" t="str">
        <f t="shared" si="28"/>
        <v>13146 WARDEN SCHOOL DISTRICT</v>
      </c>
      <c r="D313" s="607"/>
      <c r="E313" s="607">
        <v>27861.38</v>
      </c>
      <c r="F313" s="607">
        <v>27222.080000000002</v>
      </c>
      <c r="G313" s="607">
        <v>1821284.41</v>
      </c>
      <c r="H313" s="607">
        <v>291260.57</v>
      </c>
      <c r="I313" s="607">
        <v>294239.71000000002</v>
      </c>
      <c r="J313" s="607">
        <v>528349.29</v>
      </c>
      <c r="K313" s="607">
        <v>480616.12</v>
      </c>
      <c r="L313" s="607">
        <v>28075.47</v>
      </c>
      <c r="M313" s="607">
        <v>470438.39</v>
      </c>
      <c r="N313" s="608">
        <v>4.41E-2</v>
      </c>
      <c r="O313" s="608">
        <v>0.18290000000000001</v>
      </c>
      <c r="P313" s="607"/>
      <c r="Q313" s="607"/>
      <c r="R313" s="607"/>
      <c r="S313" s="607"/>
      <c r="T313" s="607"/>
      <c r="U313" s="607"/>
      <c r="V313" s="607"/>
      <c r="W313" s="607"/>
      <c r="X313" s="607"/>
      <c r="Y313" s="607">
        <v>775.14</v>
      </c>
      <c r="Z313" s="607">
        <v>475.42</v>
      </c>
      <c r="AA313" s="607">
        <v>52.82</v>
      </c>
      <c r="AB313" s="607">
        <v>69793.89</v>
      </c>
      <c r="AC313" s="607">
        <v>562561.66</v>
      </c>
      <c r="AD313" s="607">
        <v>52.82</v>
      </c>
      <c r="AE313" s="607">
        <v>497362.11</v>
      </c>
      <c r="AF313" s="148"/>
      <c r="AG313" s="148"/>
      <c r="AH313" s="148"/>
      <c r="AI313" s="607">
        <v>7.11</v>
      </c>
      <c r="AJ313" s="607">
        <v>65496.82</v>
      </c>
      <c r="AK313" s="148"/>
      <c r="AL313" s="148"/>
      <c r="AM313" s="148"/>
      <c r="AN313" s="607">
        <v>1538.1</v>
      </c>
      <c r="AO313" s="607"/>
      <c r="AP313" s="148"/>
      <c r="AQ313" s="168">
        <v>6.0000000012223609E-2</v>
      </c>
      <c r="AR313" s="238">
        <v>107816.81000000001</v>
      </c>
      <c r="AU313" s="633">
        <f t="shared" si="27"/>
        <v>0</v>
      </c>
      <c r="AX313" s="358">
        <v>307</v>
      </c>
      <c r="AY313" s="301" t="s">
        <v>281</v>
      </c>
      <c r="AZ313" s="139" t="s">
        <v>282</v>
      </c>
      <c r="BA313" s="633">
        <f t="shared" si="25"/>
        <v>0</v>
      </c>
      <c r="BC313" s="196">
        <v>307</v>
      </c>
      <c r="BD313" s="73" t="s">
        <v>281</v>
      </c>
      <c r="BE313" s="139" t="s">
        <v>282</v>
      </c>
      <c r="BF313" s="168">
        <v>6.0000000012223609E-2</v>
      </c>
      <c r="BG313" s="168">
        <v>93515.280000000013</v>
      </c>
    </row>
    <row r="314" spans="1:59">
      <c r="A314" s="139" t="s">
        <v>221</v>
      </c>
      <c r="B314" s="233" t="s">
        <v>220</v>
      </c>
      <c r="C314" s="233" t="str">
        <f t="shared" si="28"/>
        <v>06112 WASHOUGAL SCHOOL DISTRICT</v>
      </c>
      <c r="D314" s="607"/>
      <c r="E314" s="607">
        <v>5128.87</v>
      </c>
      <c r="F314" s="607"/>
      <c r="G314" s="607">
        <v>7395626.7400000002</v>
      </c>
      <c r="H314" s="607">
        <v>1183906.55</v>
      </c>
      <c r="I314" s="607"/>
      <c r="J314" s="607">
        <v>797169.46</v>
      </c>
      <c r="K314" s="607">
        <v>208919.13</v>
      </c>
      <c r="L314" s="607">
        <v>85294.81</v>
      </c>
      <c r="M314" s="607">
        <v>2519909.2999999998</v>
      </c>
      <c r="N314" s="608">
        <v>3.6299999999999999E-2</v>
      </c>
      <c r="O314" s="608">
        <v>0.1633</v>
      </c>
      <c r="P314" s="607"/>
      <c r="Q314" s="607"/>
      <c r="R314" s="607"/>
      <c r="S314" s="607"/>
      <c r="T314" s="607"/>
      <c r="U314" s="607"/>
      <c r="V314" s="607"/>
      <c r="W314" s="607"/>
      <c r="X314" s="607"/>
      <c r="Y314" s="607">
        <v>2194.3200000000002</v>
      </c>
      <c r="Z314" s="607"/>
      <c r="AA314" s="607"/>
      <c r="AB314" s="607">
        <v>461046.91</v>
      </c>
      <c r="AC314" s="607">
        <v>1789932.55</v>
      </c>
      <c r="AD314" s="607">
        <v>173.02</v>
      </c>
      <c r="AE314" s="607">
        <v>1696260.22</v>
      </c>
      <c r="AF314" s="148"/>
      <c r="AG314" s="148"/>
      <c r="AH314" s="148"/>
      <c r="AI314" s="607">
        <v>44.71</v>
      </c>
      <c r="AJ314" s="607">
        <v>430357.18</v>
      </c>
      <c r="AK314" s="148"/>
      <c r="AL314" s="148"/>
      <c r="AM314" s="148"/>
      <c r="AN314" s="607"/>
      <c r="AO314" s="607">
        <v>1799.71</v>
      </c>
      <c r="AP314" s="148"/>
      <c r="AQ314" s="168">
        <v>0</v>
      </c>
      <c r="AR314" s="238">
        <v>302570.74000000005</v>
      </c>
      <c r="AU314" s="633">
        <f t="shared" si="27"/>
        <v>0</v>
      </c>
      <c r="AX314" s="358">
        <v>308</v>
      </c>
      <c r="AY314" s="301" t="s">
        <v>220</v>
      </c>
      <c r="AZ314" s="139" t="s">
        <v>221</v>
      </c>
      <c r="BA314" s="633">
        <f t="shared" si="25"/>
        <v>0</v>
      </c>
      <c r="BC314" s="196">
        <v>308</v>
      </c>
      <c r="BD314" s="73" t="s">
        <v>220</v>
      </c>
      <c r="BE314" s="139" t="s">
        <v>221</v>
      </c>
      <c r="BF314" s="168">
        <v>0</v>
      </c>
      <c r="BG314" s="168">
        <v>248790.82</v>
      </c>
    </row>
    <row r="315" spans="1:59">
      <c r="A315" s="139" t="s">
        <v>164</v>
      </c>
      <c r="B315" s="233" t="s">
        <v>163</v>
      </c>
      <c r="C315" s="233" t="str">
        <f t="shared" si="28"/>
        <v>01109 WASHTUCNA SCHOOL DISTRICT</v>
      </c>
      <c r="D315" s="607"/>
      <c r="E315" s="607"/>
      <c r="F315" s="607"/>
      <c r="G315" s="607">
        <v>179508.81</v>
      </c>
      <c r="H315" s="607">
        <v>28041.97</v>
      </c>
      <c r="I315" s="607">
        <v>19343.32</v>
      </c>
      <c r="J315" s="607">
        <v>31391.47</v>
      </c>
      <c r="K315" s="607"/>
      <c r="L315" s="607">
        <v>1879.07</v>
      </c>
      <c r="M315" s="607">
        <v>162655.4</v>
      </c>
      <c r="N315" s="608">
        <v>4.0599999999999997E-2</v>
      </c>
      <c r="O315" s="608">
        <v>0.3044</v>
      </c>
      <c r="P315" s="607"/>
      <c r="Q315" s="607"/>
      <c r="R315" s="607"/>
      <c r="S315" s="607"/>
      <c r="T315" s="607"/>
      <c r="U315" s="607"/>
      <c r="V315" s="607"/>
      <c r="W315" s="607"/>
      <c r="X315" s="607"/>
      <c r="Y315" s="607">
        <v>52.44</v>
      </c>
      <c r="Z315" s="607"/>
      <c r="AA315" s="607"/>
      <c r="AB315" s="607">
        <v>7989.56</v>
      </c>
      <c r="AC315" s="607">
        <v>33624.660000000003</v>
      </c>
      <c r="AD315" s="607">
        <v>3.42</v>
      </c>
      <c r="AE315" s="607">
        <v>32190.720000000001</v>
      </c>
      <c r="AF315" s="148"/>
      <c r="AG315" s="148"/>
      <c r="AH315" s="148"/>
      <c r="AI315" s="607">
        <v>0.8</v>
      </c>
      <c r="AJ315" s="607">
        <v>7548.46</v>
      </c>
      <c r="AK315" s="148"/>
      <c r="AL315" s="148"/>
      <c r="AM315" s="148"/>
      <c r="AN315" s="607">
        <v>11.16</v>
      </c>
      <c r="AO315" s="607"/>
      <c r="AP315" s="148"/>
      <c r="AQ315" s="168">
        <v>0</v>
      </c>
      <c r="AR315" s="238">
        <v>21844.709999999995</v>
      </c>
      <c r="AU315" s="633">
        <f t="shared" si="27"/>
        <v>0</v>
      </c>
      <c r="AX315" s="358">
        <v>309</v>
      </c>
      <c r="AY315" s="301" t="s">
        <v>163</v>
      </c>
      <c r="AZ315" s="139" t="s">
        <v>164</v>
      </c>
      <c r="BA315" s="633">
        <f t="shared" si="25"/>
        <v>0</v>
      </c>
      <c r="BC315" s="196">
        <v>309</v>
      </c>
      <c r="BD315" s="73" t="s">
        <v>163</v>
      </c>
      <c r="BE315" s="139" t="s">
        <v>164</v>
      </c>
      <c r="BF315" s="168">
        <v>0</v>
      </c>
      <c r="BG315" s="168">
        <v>20391.249999999996</v>
      </c>
    </row>
    <row r="316" spans="1:59">
      <c r="A316" s="139" t="s">
        <v>256</v>
      </c>
      <c r="B316" s="233" t="s">
        <v>255</v>
      </c>
      <c r="C316" s="233" t="str">
        <f t="shared" si="28"/>
        <v>09209 WATERVILLE SCHOOL DISTRICT</v>
      </c>
      <c r="D316" s="607"/>
      <c r="E316" s="607"/>
      <c r="F316" s="607"/>
      <c r="G316" s="607"/>
      <c r="H316" s="607">
        <v>113076.38</v>
      </c>
      <c r="I316" s="607">
        <v>83894.79</v>
      </c>
      <c r="J316" s="607">
        <v>102353.86</v>
      </c>
      <c r="K316" s="607">
        <v>46437.38</v>
      </c>
      <c r="L316" s="607">
        <v>8179.47</v>
      </c>
      <c r="M316" s="607">
        <v>322068.45</v>
      </c>
      <c r="N316" s="608">
        <v>7.5300000000000006E-2</v>
      </c>
      <c r="O316" s="608">
        <v>0.25069999999999998</v>
      </c>
      <c r="P316" s="607"/>
      <c r="Q316" s="607"/>
      <c r="R316" s="607"/>
      <c r="S316" s="607"/>
      <c r="T316" s="607"/>
      <c r="U316" s="607"/>
      <c r="V316" s="607"/>
      <c r="W316" s="607"/>
      <c r="X316" s="607"/>
      <c r="Y316" s="607">
        <v>238.44</v>
      </c>
      <c r="Z316" s="607"/>
      <c r="AA316" s="607"/>
      <c r="AB316" s="607">
        <v>91076.6</v>
      </c>
      <c r="AC316" s="607">
        <v>293902.25</v>
      </c>
      <c r="AD316" s="607">
        <v>30.01</v>
      </c>
      <c r="AE316" s="607">
        <v>282688.78999999998</v>
      </c>
      <c r="AF316" s="148"/>
      <c r="AG316" s="148"/>
      <c r="AH316" s="148"/>
      <c r="AI316" s="607">
        <v>9.33</v>
      </c>
      <c r="AJ316" s="607">
        <v>86176.55</v>
      </c>
      <c r="AK316" s="148"/>
      <c r="AL316" s="148"/>
      <c r="AM316" s="148"/>
      <c r="AN316" s="607"/>
      <c r="AO316" s="607"/>
      <c r="AP316" s="148"/>
      <c r="AQ316" s="168">
        <v>0</v>
      </c>
      <c r="AR316" s="238">
        <v>37512.339999999989</v>
      </c>
      <c r="AU316" s="633">
        <f t="shared" si="27"/>
        <v>0</v>
      </c>
      <c r="AX316" s="358">
        <v>310</v>
      </c>
      <c r="AY316" s="301" t="s">
        <v>255</v>
      </c>
      <c r="AZ316" s="139" t="s">
        <v>256</v>
      </c>
      <c r="BA316" s="633">
        <f t="shared" si="25"/>
        <v>0</v>
      </c>
      <c r="BC316" s="196">
        <v>310</v>
      </c>
      <c r="BD316" s="73" t="s">
        <v>255</v>
      </c>
      <c r="BE316" s="139" t="s">
        <v>256</v>
      </c>
      <c r="BF316" s="168">
        <v>0</v>
      </c>
      <c r="BG316" s="168">
        <v>37604.169999999991</v>
      </c>
    </row>
    <row r="317" spans="1:59">
      <c r="A317" s="139" t="s">
        <v>623</v>
      </c>
      <c r="B317" s="233" t="s">
        <v>622</v>
      </c>
      <c r="C317" s="233" t="str">
        <f t="shared" si="28"/>
        <v>33049 WELLPINIT SCHOOL DISTRICT</v>
      </c>
      <c r="D317" s="607"/>
      <c r="E317" s="607"/>
      <c r="F317" s="607"/>
      <c r="G317" s="607">
        <v>863537.24</v>
      </c>
      <c r="H317" s="607">
        <v>123754.42</v>
      </c>
      <c r="I317" s="607">
        <v>105338.26</v>
      </c>
      <c r="J317" s="607">
        <v>220182.38</v>
      </c>
      <c r="K317" s="607"/>
      <c r="L317" s="607">
        <v>11274.4</v>
      </c>
      <c r="M317" s="607">
        <v>379539.53</v>
      </c>
      <c r="N317" s="608">
        <v>7.1999999999999995E-2</v>
      </c>
      <c r="O317" s="608">
        <v>0.3402</v>
      </c>
      <c r="P317" s="607"/>
      <c r="Q317" s="607"/>
      <c r="R317" s="607"/>
      <c r="S317" s="607"/>
      <c r="T317" s="607"/>
      <c r="U317" s="607"/>
      <c r="V317" s="607"/>
      <c r="W317" s="607"/>
      <c r="X317" s="607"/>
      <c r="Y317" s="607">
        <v>300.72000000000003</v>
      </c>
      <c r="Z317" s="607"/>
      <c r="AA317" s="607"/>
      <c r="AB317" s="607"/>
      <c r="AC317" s="607">
        <v>123684.85</v>
      </c>
      <c r="AD317" s="607">
        <v>12.67</v>
      </c>
      <c r="AE317" s="607">
        <v>119374.78</v>
      </c>
      <c r="AF317" s="148"/>
      <c r="AG317" s="148"/>
      <c r="AH317" s="148"/>
      <c r="AI317" s="607"/>
      <c r="AJ317" s="607"/>
      <c r="AK317" s="148"/>
      <c r="AL317" s="148"/>
      <c r="AM317" s="148"/>
      <c r="AN317" s="607"/>
      <c r="AO317" s="607"/>
      <c r="AP317" s="148"/>
      <c r="AQ317" s="168">
        <v>1354.8699999999881</v>
      </c>
      <c r="AR317" s="238">
        <v>44254.200000000004</v>
      </c>
      <c r="AU317" s="633">
        <f t="shared" si="27"/>
        <v>0</v>
      </c>
      <c r="AX317" s="358">
        <v>311</v>
      </c>
      <c r="AY317" s="301" t="s">
        <v>622</v>
      </c>
      <c r="AZ317" s="139" t="s">
        <v>623</v>
      </c>
      <c r="BA317" s="633">
        <f t="shared" si="25"/>
        <v>0</v>
      </c>
      <c r="BC317" s="196">
        <v>311</v>
      </c>
      <c r="BD317" s="73" t="s">
        <v>622</v>
      </c>
      <c r="BE317" s="139" t="s">
        <v>623</v>
      </c>
      <c r="BF317" s="168">
        <v>1354.8699999999881</v>
      </c>
      <c r="BG317" s="168">
        <v>37085.370000000003</v>
      </c>
    </row>
    <row r="318" spans="1:59">
      <c r="A318" s="139" t="s">
        <v>202</v>
      </c>
      <c r="B318" s="233" t="s">
        <v>201</v>
      </c>
      <c r="C318" s="233" t="str">
        <f t="shared" si="28"/>
        <v>04246 WENATCHEE SCHOOL DISTRICT</v>
      </c>
      <c r="D318" s="607"/>
      <c r="E318" s="607">
        <v>280570.07</v>
      </c>
      <c r="F318" s="607">
        <v>107561.60000000001</v>
      </c>
      <c r="G318" s="607">
        <v>14543132.58</v>
      </c>
      <c r="H318" s="607">
        <v>2368936.2200000002</v>
      </c>
      <c r="I318" s="607">
        <v>1862044.37</v>
      </c>
      <c r="J318" s="607">
        <v>2882156.42</v>
      </c>
      <c r="K318" s="607">
        <v>2775669.79</v>
      </c>
      <c r="L318" s="607">
        <v>214655.72</v>
      </c>
      <c r="M318" s="607">
        <v>2827120.88</v>
      </c>
      <c r="N318" s="608">
        <v>2.87E-2</v>
      </c>
      <c r="O318" s="608">
        <v>0.1293</v>
      </c>
      <c r="P318" s="607"/>
      <c r="Q318" s="607"/>
      <c r="R318" s="607"/>
      <c r="S318" s="607">
        <v>216128.59</v>
      </c>
      <c r="T318" s="607"/>
      <c r="U318" s="607">
        <v>6917.2</v>
      </c>
      <c r="V318" s="607"/>
      <c r="W318" s="607"/>
      <c r="X318" s="607"/>
      <c r="Y318" s="607">
        <v>5680</v>
      </c>
      <c r="Z318" s="607"/>
      <c r="AA318" s="607">
        <v>0.1</v>
      </c>
      <c r="AB318" s="607">
        <v>2805929.18</v>
      </c>
      <c r="AC318" s="607">
        <v>7758662.1399999997</v>
      </c>
      <c r="AD318" s="607">
        <v>758.15</v>
      </c>
      <c r="AE318" s="607">
        <v>7141278.9500000002</v>
      </c>
      <c r="AF318" s="148"/>
      <c r="AG318" s="148"/>
      <c r="AH318" s="148"/>
      <c r="AI318" s="607">
        <v>281.2</v>
      </c>
      <c r="AJ318" s="607">
        <v>2597937.08</v>
      </c>
      <c r="AK318" s="148"/>
      <c r="AL318" s="148"/>
      <c r="AM318" s="148"/>
      <c r="AN318" s="607">
        <v>9244.67</v>
      </c>
      <c r="AO318" s="607"/>
      <c r="AP318" s="148"/>
      <c r="AQ318" s="168">
        <v>76765.529999999213</v>
      </c>
      <c r="AR318" s="238">
        <v>757184.09</v>
      </c>
      <c r="AU318" s="633">
        <f t="shared" si="27"/>
        <v>0</v>
      </c>
      <c r="AX318" s="358">
        <v>312</v>
      </c>
      <c r="AY318" s="301" t="s">
        <v>201</v>
      </c>
      <c r="AZ318" s="139" t="s">
        <v>202</v>
      </c>
      <c r="BA318" s="633">
        <f t="shared" si="25"/>
        <v>0</v>
      </c>
      <c r="BC318" s="196">
        <v>312</v>
      </c>
      <c r="BD318" s="73" t="s">
        <v>201</v>
      </c>
      <c r="BE318" s="139" t="s">
        <v>202</v>
      </c>
      <c r="BF318" s="168">
        <v>76765.529999999213</v>
      </c>
      <c r="BG318" s="168">
        <v>653355.3899999999</v>
      </c>
    </row>
    <row r="319" spans="1:59">
      <c r="A319" s="139" t="s">
        <v>803</v>
      </c>
      <c r="B319" s="233" t="s">
        <v>613</v>
      </c>
      <c r="C319" s="233" t="str">
        <f t="shared" si="28"/>
        <v>32363 WEST VALLEY (SPOKANE) SCHOOL DISTRICT</v>
      </c>
      <c r="D319" s="607"/>
      <c r="E319" s="607"/>
      <c r="F319" s="607"/>
      <c r="G319" s="607">
        <v>6630114.3600000003</v>
      </c>
      <c r="H319" s="607">
        <v>1053447.54</v>
      </c>
      <c r="I319" s="607">
        <v>599864.35</v>
      </c>
      <c r="J319" s="607">
        <v>1303077.3600000001</v>
      </c>
      <c r="K319" s="607">
        <v>364631.63</v>
      </c>
      <c r="L319" s="607">
        <v>106111.99</v>
      </c>
      <c r="M319" s="607">
        <v>2280264.67</v>
      </c>
      <c r="N319" s="608">
        <v>4.5600000000000002E-2</v>
      </c>
      <c r="O319" s="608">
        <v>0.1895</v>
      </c>
      <c r="P319" s="607"/>
      <c r="Q319" s="607"/>
      <c r="R319" s="607"/>
      <c r="S319" s="607"/>
      <c r="T319" s="607"/>
      <c r="U319" s="607"/>
      <c r="V319" s="607"/>
      <c r="W319" s="607"/>
      <c r="X319" s="607"/>
      <c r="Y319" s="607">
        <v>2490.94</v>
      </c>
      <c r="Z319" s="607"/>
      <c r="AA319" s="607">
        <v>153438.21</v>
      </c>
      <c r="AB319" s="607">
        <v>917701.95</v>
      </c>
      <c r="AC319" s="607">
        <v>2132444.9900000002</v>
      </c>
      <c r="AD319" s="607">
        <v>207.99</v>
      </c>
      <c r="AE319" s="607">
        <v>1959064.42</v>
      </c>
      <c r="AF319" s="148"/>
      <c r="AG319" s="148"/>
      <c r="AH319" s="148"/>
      <c r="AI319" s="607">
        <v>93.6</v>
      </c>
      <c r="AJ319" s="607">
        <v>864729.79</v>
      </c>
      <c r="AK319" s="148"/>
      <c r="AL319" s="148"/>
      <c r="AM319" s="148"/>
      <c r="AN319" s="607"/>
      <c r="AO319" s="607"/>
      <c r="AP319" s="148"/>
      <c r="AQ319" s="168">
        <v>15472.780000000261</v>
      </c>
      <c r="AR319" s="238">
        <v>332100.15000000002</v>
      </c>
      <c r="AU319" s="633">
        <f t="shared" si="27"/>
        <v>0</v>
      </c>
      <c r="AX319" s="358">
        <v>313</v>
      </c>
      <c r="AY319" s="301" t="s">
        <v>613</v>
      </c>
      <c r="AZ319" s="139" t="s">
        <v>803</v>
      </c>
      <c r="BA319" s="633">
        <f t="shared" ref="BA319:BA337" si="29">+AY319-BD319</f>
        <v>0</v>
      </c>
      <c r="BC319" s="196">
        <v>313</v>
      </c>
      <c r="BD319" s="73" t="s">
        <v>613</v>
      </c>
      <c r="BE319" s="139" t="s">
        <v>803</v>
      </c>
      <c r="BF319" s="168">
        <v>15472.780000000261</v>
      </c>
      <c r="BG319" s="168">
        <v>282934.09000000003</v>
      </c>
    </row>
    <row r="320" spans="1:59">
      <c r="A320" s="139" t="s">
        <v>808</v>
      </c>
      <c r="B320" s="233" t="s">
        <v>736</v>
      </c>
      <c r="C320" s="233" t="str">
        <f t="shared" si="28"/>
        <v>39208 WEST VALLEY (YAKIMA) SCHOOL DISTRICT</v>
      </c>
      <c r="D320" s="607"/>
      <c r="E320" s="607">
        <v>128852.07</v>
      </c>
      <c r="F320" s="607">
        <v>93902</v>
      </c>
      <c r="G320" s="607">
        <v>9977248.1899999995</v>
      </c>
      <c r="H320" s="607">
        <v>1707335.09</v>
      </c>
      <c r="I320" s="607">
        <v>956665.92</v>
      </c>
      <c r="J320" s="607">
        <v>1885477.45</v>
      </c>
      <c r="K320" s="607">
        <v>956544.88</v>
      </c>
      <c r="L320" s="607">
        <v>168784.39</v>
      </c>
      <c r="M320" s="607">
        <v>3344971.07</v>
      </c>
      <c r="N320" s="608">
        <v>4.9299999999999997E-2</v>
      </c>
      <c r="O320" s="608">
        <v>0.18229999999999999</v>
      </c>
      <c r="P320" s="607"/>
      <c r="Q320" s="607"/>
      <c r="R320" s="607"/>
      <c r="S320" s="607"/>
      <c r="T320" s="607"/>
      <c r="U320" s="607"/>
      <c r="V320" s="607"/>
      <c r="W320" s="607"/>
      <c r="X320" s="607"/>
      <c r="Y320" s="607">
        <v>4228.87</v>
      </c>
      <c r="Z320" s="607">
        <v>108448.06</v>
      </c>
      <c r="AA320" s="607">
        <v>162672.1</v>
      </c>
      <c r="AB320" s="607">
        <v>2944841.27</v>
      </c>
      <c r="AC320" s="607">
        <v>3526112.65</v>
      </c>
      <c r="AD320" s="607">
        <v>343.18</v>
      </c>
      <c r="AE320" s="607">
        <v>3232385.95</v>
      </c>
      <c r="AF320" s="148"/>
      <c r="AG320" s="148"/>
      <c r="AH320" s="148"/>
      <c r="AI320" s="607">
        <v>301.51</v>
      </c>
      <c r="AJ320" s="607">
        <v>2785468.25</v>
      </c>
      <c r="AK320" s="148"/>
      <c r="AL320" s="148"/>
      <c r="AM320" s="148"/>
      <c r="AN320" s="607">
        <v>1400</v>
      </c>
      <c r="AO320" s="607"/>
      <c r="AP320" s="148"/>
      <c r="AQ320" s="168">
        <v>0</v>
      </c>
      <c r="AR320" s="238">
        <v>589646.28000000014</v>
      </c>
      <c r="AU320" s="633">
        <f t="shared" si="27"/>
        <v>0</v>
      </c>
      <c r="AX320" s="358">
        <v>314</v>
      </c>
      <c r="AY320" s="301" t="s">
        <v>736</v>
      </c>
      <c r="AZ320" s="139" t="s">
        <v>808</v>
      </c>
      <c r="BA320" s="633">
        <f t="shared" si="29"/>
        <v>0</v>
      </c>
      <c r="BC320" s="196">
        <v>314</v>
      </c>
      <c r="BD320" s="73" t="s">
        <v>736</v>
      </c>
      <c r="BE320" s="139" t="s">
        <v>808</v>
      </c>
      <c r="BF320" s="168">
        <v>0</v>
      </c>
      <c r="BG320" s="168">
        <v>503930.18</v>
      </c>
    </row>
    <row r="321" spans="1:59">
      <c r="A321" s="73" t="s">
        <v>1642</v>
      </c>
      <c r="B321" s="235" t="s">
        <v>1639</v>
      </c>
      <c r="C321" s="233" t="str">
        <f>CONCATENATE(B321," ",A321," CHARTER")</f>
        <v>37902 WHATCOM INTERGENERATIONAL CHARTER</v>
      </c>
      <c r="D321" s="607"/>
      <c r="E321" s="607"/>
      <c r="F321" s="607"/>
      <c r="G321" s="607">
        <v>265443.44</v>
      </c>
      <c r="H321" s="607">
        <v>49988.76</v>
      </c>
      <c r="I321" s="607"/>
      <c r="J321" s="607">
        <v>18825.28</v>
      </c>
      <c r="K321" s="607"/>
      <c r="L321" s="607">
        <v>3602.38</v>
      </c>
      <c r="M321" s="607"/>
      <c r="N321" s="608">
        <v>3.8699999999999998E-2</v>
      </c>
      <c r="O321" s="608">
        <v>0.1535</v>
      </c>
      <c r="P321" s="607"/>
      <c r="Q321" s="607"/>
      <c r="R321" s="607"/>
      <c r="S321" s="607"/>
      <c r="T321" s="607"/>
      <c r="U321" s="607"/>
      <c r="V321" s="607"/>
      <c r="W321" s="607"/>
      <c r="X321" s="607"/>
      <c r="Y321" s="607"/>
      <c r="Z321" s="607"/>
      <c r="AA321" s="607"/>
      <c r="AB321" s="607"/>
      <c r="AC321" s="607">
        <v>8819.5499999999993</v>
      </c>
      <c r="AD321" s="607"/>
      <c r="AE321" s="607"/>
      <c r="AF321" s="148"/>
      <c r="AG321" s="148"/>
      <c r="AH321" s="148"/>
      <c r="AI321" s="607"/>
      <c r="AJ321" s="607"/>
      <c r="AK321" s="148"/>
      <c r="AL321" s="148"/>
      <c r="AM321" s="148"/>
      <c r="AN321" s="607"/>
      <c r="AO321" s="607"/>
      <c r="AP321" s="148"/>
      <c r="AQ321" s="168">
        <v>22041.800000000003</v>
      </c>
      <c r="AR321" s="238">
        <v>17523.7</v>
      </c>
      <c r="AU321" s="633">
        <f t="shared" si="27"/>
        <v>0</v>
      </c>
      <c r="AX321" s="358">
        <v>315</v>
      </c>
      <c r="AY321" s="313" t="s">
        <v>1639</v>
      </c>
      <c r="AZ321" s="73" t="s">
        <v>1642</v>
      </c>
      <c r="BA321" s="633">
        <f t="shared" si="29"/>
        <v>0</v>
      </c>
      <c r="BC321" s="196">
        <v>315</v>
      </c>
      <c r="BD321" s="199" t="s">
        <v>1639</v>
      </c>
      <c r="BE321" s="73" t="s">
        <v>1642</v>
      </c>
      <c r="BF321" s="168">
        <v>22041.800000000003</v>
      </c>
      <c r="BG321" s="168">
        <v>15403.67</v>
      </c>
    </row>
    <row r="322" spans="1:59">
      <c r="A322" s="139" t="s">
        <v>439</v>
      </c>
      <c r="B322" s="233" t="s">
        <v>438</v>
      </c>
      <c r="C322" s="233" t="str">
        <f>CONCATENATE(B322," ",A322," SCHOOL DISTRICT")</f>
        <v>21303 WHITE PASS SCHOOL DISTRICT</v>
      </c>
      <c r="D322" s="607"/>
      <c r="E322" s="607">
        <v>16182.9</v>
      </c>
      <c r="F322" s="607">
        <v>10132.08</v>
      </c>
      <c r="G322" s="607">
        <v>626194.09</v>
      </c>
      <c r="H322" s="607">
        <v>104735.48</v>
      </c>
      <c r="I322" s="607">
        <v>113075.59</v>
      </c>
      <c r="J322" s="607">
        <v>171768.78</v>
      </c>
      <c r="K322" s="607"/>
      <c r="L322" s="607">
        <v>10721.74</v>
      </c>
      <c r="M322" s="607">
        <v>558136.98</v>
      </c>
      <c r="N322" s="608">
        <v>5.21E-2</v>
      </c>
      <c r="O322" s="608">
        <v>0.24310000000000001</v>
      </c>
      <c r="P322" s="607"/>
      <c r="Q322" s="607"/>
      <c r="R322" s="607"/>
      <c r="S322" s="607"/>
      <c r="T322" s="607"/>
      <c r="U322" s="607"/>
      <c r="V322" s="607"/>
      <c r="W322" s="607"/>
      <c r="X322" s="607"/>
      <c r="Y322" s="607">
        <v>173.71</v>
      </c>
      <c r="Z322" s="607"/>
      <c r="AA322" s="607"/>
      <c r="AB322" s="607">
        <v>72132.08</v>
      </c>
      <c r="AC322" s="607">
        <v>143873.67000000001</v>
      </c>
      <c r="AD322" s="607">
        <v>14.63</v>
      </c>
      <c r="AE322" s="607">
        <v>137943.01999999999</v>
      </c>
      <c r="AF322" s="148"/>
      <c r="AG322" s="148"/>
      <c r="AH322" s="148"/>
      <c r="AI322" s="607">
        <v>7.38</v>
      </c>
      <c r="AJ322" s="607">
        <v>68113.820000000007</v>
      </c>
      <c r="AK322" s="148"/>
      <c r="AL322" s="148"/>
      <c r="AM322" s="148"/>
      <c r="AN322" s="607"/>
      <c r="AO322" s="607"/>
      <c r="AP322" s="148"/>
      <c r="AQ322" s="168">
        <v>111702.80000000002</v>
      </c>
      <c r="AR322" s="238">
        <v>45714.210000000006</v>
      </c>
      <c r="AU322" s="633">
        <f t="shared" si="27"/>
        <v>0</v>
      </c>
      <c r="AX322" s="358">
        <v>316</v>
      </c>
      <c r="AY322" s="301" t="s">
        <v>438</v>
      </c>
      <c r="AZ322" s="139" t="s">
        <v>439</v>
      </c>
      <c r="BA322" s="633">
        <f t="shared" si="29"/>
        <v>0</v>
      </c>
      <c r="BC322" s="196">
        <v>316</v>
      </c>
      <c r="BD322" s="73" t="s">
        <v>438</v>
      </c>
      <c r="BE322" s="139" t="s">
        <v>439</v>
      </c>
      <c r="BF322" s="168">
        <v>111702.80000000002</v>
      </c>
      <c r="BG322" s="168">
        <v>40784.320000000007</v>
      </c>
    </row>
    <row r="323" spans="1:59">
      <c r="A323" s="139" t="s">
        <v>532</v>
      </c>
      <c r="B323" s="233" t="s">
        <v>531</v>
      </c>
      <c r="C323" s="233" t="str">
        <f>CONCATENATE(B323," ",A323," SCHOOL DISTRICT")</f>
        <v>27416 WHITE RIVER SCHOOL DISTRICT</v>
      </c>
      <c r="D323" s="607"/>
      <c r="E323" s="607">
        <v>80387.12</v>
      </c>
      <c r="F323" s="607"/>
      <c r="G323" s="607">
        <v>7232866.8499999996</v>
      </c>
      <c r="H323" s="607">
        <v>1159685.1599999999</v>
      </c>
      <c r="I323" s="607"/>
      <c r="J323" s="607">
        <v>1079548.74</v>
      </c>
      <c r="K323" s="607">
        <v>446488.71</v>
      </c>
      <c r="L323" s="607">
        <v>144559.59</v>
      </c>
      <c r="M323" s="607">
        <v>3765816.42</v>
      </c>
      <c r="N323" s="608">
        <v>5.4399999999999997E-2</v>
      </c>
      <c r="O323" s="608">
        <v>0.16619999999999999</v>
      </c>
      <c r="P323" s="607"/>
      <c r="Q323" s="607"/>
      <c r="R323" s="607"/>
      <c r="S323" s="607"/>
      <c r="T323" s="607"/>
      <c r="U323" s="607"/>
      <c r="V323" s="607">
        <v>252644.05</v>
      </c>
      <c r="W323" s="607">
        <v>24325.42</v>
      </c>
      <c r="X323" s="607">
        <v>10281.76</v>
      </c>
      <c r="Y323" s="607">
        <v>2186.9499999999998</v>
      </c>
      <c r="Z323" s="607">
        <v>7868.94</v>
      </c>
      <c r="AA323" s="607">
        <v>238035.42</v>
      </c>
      <c r="AB323" s="607">
        <v>321649.64</v>
      </c>
      <c r="AC323" s="607">
        <v>3576935.28</v>
      </c>
      <c r="AD323" s="607">
        <v>336.86</v>
      </c>
      <c r="AE323" s="607">
        <v>3302552.56</v>
      </c>
      <c r="AF323" s="148"/>
      <c r="AG323" s="148"/>
      <c r="AH323" s="148"/>
      <c r="AI323" s="607">
        <v>31.65</v>
      </c>
      <c r="AJ323" s="607">
        <v>304585.84999999998</v>
      </c>
      <c r="AK323" s="148"/>
      <c r="AL323" s="148"/>
      <c r="AM323" s="148"/>
      <c r="AN323" s="607"/>
      <c r="AO323" s="607"/>
      <c r="AP323" s="148"/>
      <c r="AQ323" s="168">
        <v>0</v>
      </c>
      <c r="AR323" s="238">
        <v>475098.11999999994</v>
      </c>
      <c r="AU323" s="633">
        <f t="shared" si="27"/>
        <v>0</v>
      </c>
      <c r="AX323" s="358">
        <v>317</v>
      </c>
      <c r="AY323" s="301" t="s">
        <v>531</v>
      </c>
      <c r="AZ323" s="139" t="s">
        <v>532</v>
      </c>
      <c r="BA323" s="633">
        <f t="shared" si="29"/>
        <v>0</v>
      </c>
      <c r="BC323" s="196">
        <v>317</v>
      </c>
      <c r="BD323" s="73" t="s">
        <v>531</v>
      </c>
      <c r="BE323" s="139" t="s">
        <v>532</v>
      </c>
      <c r="BF323" s="168">
        <v>0</v>
      </c>
      <c r="BG323" s="168">
        <v>415863.67999999993</v>
      </c>
    </row>
    <row r="324" spans="1:59">
      <c r="A324" s="139" t="s">
        <v>413</v>
      </c>
      <c r="B324" s="233" t="s">
        <v>412</v>
      </c>
      <c r="C324" s="233" t="str">
        <f>CONCATENATE(B324," ",A324," SCHOOL DISTRICT")</f>
        <v>20405 WHITE SALMON SCHOOL DISTRICT</v>
      </c>
      <c r="D324" s="607"/>
      <c r="E324" s="607">
        <v>31490.02</v>
      </c>
      <c r="F324" s="607">
        <v>10379.5</v>
      </c>
      <c r="G324" s="607"/>
      <c r="H324" s="607">
        <v>353610.84</v>
      </c>
      <c r="I324" s="607"/>
      <c r="J324" s="607">
        <v>366658.5</v>
      </c>
      <c r="K324" s="607">
        <v>289797.39</v>
      </c>
      <c r="L324" s="607">
        <v>34174.230000000003</v>
      </c>
      <c r="M324" s="607">
        <v>1465025.25</v>
      </c>
      <c r="N324" s="608">
        <v>4.3200000000000002E-2</v>
      </c>
      <c r="O324" s="608">
        <v>0.19020000000000001</v>
      </c>
      <c r="P324" s="607"/>
      <c r="Q324" s="607"/>
      <c r="R324" s="607"/>
      <c r="S324" s="607"/>
      <c r="T324" s="607"/>
      <c r="U324" s="607"/>
      <c r="V324" s="607"/>
      <c r="W324" s="607"/>
      <c r="X324" s="607"/>
      <c r="Y324" s="607">
        <v>864.46</v>
      </c>
      <c r="Z324" s="607"/>
      <c r="AA324" s="607"/>
      <c r="AB324" s="607"/>
      <c r="AC324" s="607">
        <v>587984.07999999996</v>
      </c>
      <c r="AD324" s="607">
        <v>58.15</v>
      </c>
      <c r="AE324" s="607">
        <v>558497.51</v>
      </c>
      <c r="AF324" s="148"/>
      <c r="AG324" s="148"/>
      <c r="AH324" s="148"/>
      <c r="AI324" s="607"/>
      <c r="AJ324" s="607"/>
      <c r="AK324" s="148"/>
      <c r="AL324" s="148"/>
      <c r="AM324" s="148"/>
      <c r="AN324" s="607"/>
      <c r="AO324" s="607"/>
      <c r="AP324" s="148"/>
      <c r="AQ324" s="168">
        <v>18593.800000000032</v>
      </c>
      <c r="AR324" s="238">
        <v>100363.60999999997</v>
      </c>
      <c r="AU324" s="633">
        <f t="shared" si="27"/>
        <v>0</v>
      </c>
      <c r="AX324" s="358">
        <v>318</v>
      </c>
      <c r="AY324" s="301" t="s">
        <v>412</v>
      </c>
      <c r="AZ324" s="139" t="s">
        <v>413</v>
      </c>
      <c r="BA324" s="633">
        <f t="shared" si="29"/>
        <v>0</v>
      </c>
      <c r="BC324" s="196">
        <v>318</v>
      </c>
      <c r="BD324" s="73" t="s">
        <v>412</v>
      </c>
      <c r="BE324" s="139" t="s">
        <v>413</v>
      </c>
      <c r="BF324" s="168">
        <v>18593.800000000032</v>
      </c>
      <c r="BG324" s="168">
        <v>100453.74999999999</v>
      </c>
    </row>
    <row r="325" spans="1:59">
      <c r="A325" s="73" t="s">
        <v>1644</v>
      </c>
      <c r="B325" s="233" t="s">
        <v>1643</v>
      </c>
      <c r="C325" s="233" t="str">
        <f>CONCATENATE(B325," ",A325," CHARTER")</f>
        <v>17917 WHY NOT YOU CHARTER</v>
      </c>
      <c r="D325" s="607"/>
      <c r="E325" s="607"/>
      <c r="F325" s="607">
        <v>6023.15</v>
      </c>
      <c r="G325" s="607">
        <v>132014.95000000001</v>
      </c>
      <c r="H325" s="607">
        <v>24859.67</v>
      </c>
      <c r="I325" s="607">
        <v>53188.24</v>
      </c>
      <c r="J325" s="607">
        <v>79973.7</v>
      </c>
      <c r="K325" s="607">
        <v>11321.06</v>
      </c>
      <c r="L325" s="607">
        <v>2423.4499999999998</v>
      </c>
      <c r="M325" s="607"/>
      <c r="N325" s="608">
        <v>3.8699999999999998E-2</v>
      </c>
      <c r="O325" s="608">
        <v>0.1535</v>
      </c>
      <c r="P325" s="607"/>
      <c r="Q325" s="607"/>
      <c r="R325" s="607"/>
      <c r="S325" s="607"/>
      <c r="T325" s="607"/>
      <c r="U325" s="607"/>
      <c r="V325" s="607"/>
      <c r="W325" s="607"/>
      <c r="X325" s="607"/>
      <c r="Y325" s="607"/>
      <c r="Z325" s="607"/>
      <c r="AA325" s="607"/>
      <c r="AB325" s="607"/>
      <c r="AC325" s="607">
        <v>18676.7</v>
      </c>
      <c r="AD325" s="607"/>
      <c r="AE325" s="607"/>
      <c r="AF325" s="148"/>
      <c r="AG325" s="148"/>
      <c r="AH325" s="148"/>
      <c r="AI325" s="607"/>
      <c r="AJ325" s="607"/>
      <c r="AK325" s="148"/>
      <c r="AL325" s="148"/>
      <c r="AM325" s="148"/>
      <c r="AN325" s="607"/>
      <c r="AO325" s="607"/>
      <c r="AP325" s="148"/>
      <c r="AQ325" s="168">
        <v>0</v>
      </c>
      <c r="AR325" s="238">
        <v>19592.37</v>
      </c>
      <c r="AU325" s="633">
        <f t="shared" si="27"/>
        <v>0</v>
      </c>
      <c r="AX325" s="358">
        <v>319</v>
      </c>
      <c r="AY325" s="302" t="s">
        <v>1643</v>
      </c>
      <c r="AZ325" s="73" t="s">
        <v>1644</v>
      </c>
      <c r="BA325" s="633">
        <f t="shared" si="29"/>
        <v>0</v>
      </c>
      <c r="BC325" s="196">
        <v>319</v>
      </c>
      <c r="BD325" s="198" t="s">
        <v>1643</v>
      </c>
      <c r="BE325" s="73" t="s">
        <v>1644</v>
      </c>
      <c r="BF325" s="168">
        <v>0</v>
      </c>
      <c r="BG325" s="168">
        <v>18562.810000000001</v>
      </c>
    </row>
    <row r="326" spans="1:59">
      <c r="A326" s="139" t="s">
        <v>453</v>
      </c>
      <c r="B326" s="233" t="s">
        <v>452</v>
      </c>
      <c r="C326" s="233" t="str">
        <f t="shared" ref="C326:C336" si="30">CONCATENATE(B326," ",A326," SCHOOL DISTRICT")</f>
        <v>22200 WILBUR SCHOOL DISTRICT</v>
      </c>
      <c r="D326" s="607"/>
      <c r="E326" s="607">
        <v>3083.9</v>
      </c>
      <c r="F326" s="607"/>
      <c r="G326" s="607">
        <v>562148.71</v>
      </c>
      <c r="H326" s="607">
        <v>93269.57</v>
      </c>
      <c r="I326" s="607">
        <v>39128.81</v>
      </c>
      <c r="J326" s="607">
        <v>72178.259999999995</v>
      </c>
      <c r="K326" s="607"/>
      <c r="L326" s="607">
        <v>7295.2</v>
      </c>
      <c r="M326" s="607"/>
      <c r="N326" s="608">
        <v>4.1099999999999998E-2</v>
      </c>
      <c r="O326" s="608">
        <v>0.30909999999999999</v>
      </c>
      <c r="P326" s="607"/>
      <c r="Q326" s="607"/>
      <c r="R326" s="607"/>
      <c r="S326" s="607"/>
      <c r="T326" s="607"/>
      <c r="U326" s="607"/>
      <c r="V326" s="607"/>
      <c r="W326" s="607"/>
      <c r="X326" s="607"/>
      <c r="Y326" s="607"/>
      <c r="Z326" s="607"/>
      <c r="AA326" s="607"/>
      <c r="AB326" s="607">
        <v>12269.87</v>
      </c>
      <c r="AC326" s="607">
        <v>138073.76</v>
      </c>
      <c r="AD326" s="607">
        <v>13.88</v>
      </c>
      <c r="AE326" s="607">
        <v>130852.41</v>
      </c>
      <c r="AF326" s="148"/>
      <c r="AG326" s="148"/>
      <c r="AH326" s="148"/>
      <c r="AI326" s="607">
        <v>1.25</v>
      </c>
      <c r="AJ326" s="607">
        <v>11557.87</v>
      </c>
      <c r="AK326" s="148"/>
      <c r="AL326" s="148"/>
      <c r="AM326" s="148"/>
      <c r="AN326" s="607"/>
      <c r="AO326" s="607"/>
      <c r="AP326" s="148"/>
      <c r="AQ326" s="168">
        <v>880.75999999999476</v>
      </c>
      <c r="AR326" s="238">
        <v>36217.060000000005</v>
      </c>
      <c r="AU326" s="633">
        <f t="shared" si="27"/>
        <v>0</v>
      </c>
      <c r="AX326" s="358">
        <v>320</v>
      </c>
      <c r="AY326" s="301" t="s">
        <v>452</v>
      </c>
      <c r="AZ326" s="139" t="s">
        <v>453</v>
      </c>
      <c r="BA326" s="633">
        <f t="shared" si="29"/>
        <v>0</v>
      </c>
      <c r="BC326" s="196">
        <v>320</v>
      </c>
      <c r="BD326" s="73" t="s">
        <v>452</v>
      </c>
      <c r="BE326" s="139" t="s">
        <v>453</v>
      </c>
      <c r="BF326" s="168">
        <v>880.75999999999476</v>
      </c>
      <c r="BG326" s="168">
        <v>31472.800000000003</v>
      </c>
    </row>
    <row r="327" spans="1:59">
      <c r="A327" s="139" t="s">
        <v>496</v>
      </c>
      <c r="B327" s="233" t="s">
        <v>495</v>
      </c>
      <c r="C327" s="233" t="str">
        <f t="shared" si="30"/>
        <v>25160 WILLAPA VALLEY SCHOOL DISTRICT</v>
      </c>
      <c r="D327" s="607"/>
      <c r="E327" s="607">
        <v>5421.52</v>
      </c>
      <c r="F327" s="607"/>
      <c r="G327" s="607">
        <v>744747.56</v>
      </c>
      <c r="H327" s="607">
        <v>124424.65</v>
      </c>
      <c r="I327" s="607"/>
      <c r="J327" s="607">
        <v>103127.59</v>
      </c>
      <c r="K327" s="607">
        <v>6976.52</v>
      </c>
      <c r="L327" s="607">
        <v>11606</v>
      </c>
      <c r="M327" s="607">
        <v>576933.06999999995</v>
      </c>
      <c r="N327" s="608">
        <v>1.9199999999999998E-2</v>
      </c>
      <c r="O327" s="608">
        <v>0.1845</v>
      </c>
      <c r="P327" s="607"/>
      <c r="Q327" s="607"/>
      <c r="R327" s="607"/>
      <c r="S327" s="607"/>
      <c r="T327" s="607"/>
      <c r="U327" s="607"/>
      <c r="V327" s="607"/>
      <c r="W327" s="607"/>
      <c r="X327" s="607"/>
      <c r="Y327" s="607">
        <v>328.57</v>
      </c>
      <c r="Z327" s="607"/>
      <c r="AA327" s="607"/>
      <c r="AB327" s="607">
        <v>39099.1</v>
      </c>
      <c r="AC327" s="607">
        <v>282793.15000000002</v>
      </c>
      <c r="AD327" s="607">
        <v>25.09</v>
      </c>
      <c r="AE327" s="607">
        <v>236424.17</v>
      </c>
      <c r="AF327" s="148"/>
      <c r="AG327" s="148"/>
      <c r="AH327" s="148"/>
      <c r="AI327" s="607">
        <v>3.89</v>
      </c>
      <c r="AJ327" s="607">
        <v>35999.589999999997</v>
      </c>
      <c r="AK327" s="148"/>
      <c r="AL327" s="148"/>
      <c r="AM327" s="148"/>
      <c r="AN327" s="607"/>
      <c r="AO327" s="607"/>
      <c r="AP327" s="148"/>
      <c r="AQ327" s="168">
        <v>60062.899999999987</v>
      </c>
      <c r="AR327" s="238">
        <v>44878.76</v>
      </c>
      <c r="AU327" s="633">
        <f t="shared" si="27"/>
        <v>0</v>
      </c>
      <c r="AX327" s="358">
        <v>321</v>
      </c>
      <c r="AY327" s="301" t="s">
        <v>495</v>
      </c>
      <c r="AZ327" s="139" t="s">
        <v>496</v>
      </c>
      <c r="BA327" s="633">
        <f t="shared" si="29"/>
        <v>0</v>
      </c>
      <c r="BC327" s="196">
        <v>321</v>
      </c>
      <c r="BD327" s="73" t="s">
        <v>495</v>
      </c>
      <c r="BE327" s="139" t="s">
        <v>496</v>
      </c>
      <c r="BF327" s="168">
        <v>60062.899999999987</v>
      </c>
      <c r="BG327" s="168">
        <v>39117.620000000003</v>
      </c>
    </row>
    <row r="328" spans="1:59">
      <c r="A328" s="139" t="s">
        <v>294</v>
      </c>
      <c r="B328" s="233" t="s">
        <v>293</v>
      </c>
      <c r="C328" s="233" t="str">
        <f t="shared" si="30"/>
        <v>13167 WILSON CREEK SCHOOL DISTRICT</v>
      </c>
      <c r="D328" s="607"/>
      <c r="E328" s="607"/>
      <c r="F328" s="607">
        <v>733.64</v>
      </c>
      <c r="G328" s="607">
        <v>217897.31</v>
      </c>
      <c r="H328" s="607">
        <v>36430.68</v>
      </c>
      <c r="I328" s="607">
        <v>39791.980000000003</v>
      </c>
      <c r="J328" s="607">
        <v>58140.53</v>
      </c>
      <c r="K328" s="607"/>
      <c r="L328" s="607">
        <v>3758.14</v>
      </c>
      <c r="M328" s="607">
        <v>252780.37</v>
      </c>
      <c r="N328" s="608">
        <v>6.0299999999999999E-2</v>
      </c>
      <c r="O328" s="608">
        <v>0.29899999999999999</v>
      </c>
      <c r="P328" s="607"/>
      <c r="Q328" s="607"/>
      <c r="R328" s="607"/>
      <c r="S328" s="607"/>
      <c r="T328" s="607"/>
      <c r="U328" s="607"/>
      <c r="V328" s="607"/>
      <c r="W328" s="607"/>
      <c r="X328" s="607"/>
      <c r="Y328" s="607">
        <v>95.87</v>
      </c>
      <c r="Z328" s="607"/>
      <c r="AA328" s="607"/>
      <c r="AB328" s="607">
        <v>57432.86</v>
      </c>
      <c r="AC328" s="607">
        <v>77588.990000000005</v>
      </c>
      <c r="AD328" s="607">
        <v>6.25</v>
      </c>
      <c r="AE328" s="607">
        <v>59015.31</v>
      </c>
      <c r="AF328" s="148"/>
      <c r="AG328" s="148"/>
      <c r="AH328" s="148"/>
      <c r="AI328" s="607">
        <v>5.88</v>
      </c>
      <c r="AJ328" s="607">
        <v>54171.040000000001</v>
      </c>
      <c r="AK328" s="148"/>
      <c r="AL328" s="148"/>
      <c r="AM328" s="148"/>
      <c r="AN328" s="607">
        <v>319.36</v>
      </c>
      <c r="AO328" s="607"/>
      <c r="AP328" s="148"/>
      <c r="AQ328" s="168">
        <v>5599.2700000000114</v>
      </c>
      <c r="AR328" s="238">
        <v>24439.39</v>
      </c>
      <c r="AU328" s="633">
        <f t="shared" si="27"/>
        <v>0</v>
      </c>
      <c r="AX328" s="358">
        <v>322</v>
      </c>
      <c r="AY328" s="301" t="s">
        <v>293</v>
      </c>
      <c r="AZ328" s="139" t="s">
        <v>294</v>
      </c>
      <c r="BA328" s="633">
        <f t="shared" si="29"/>
        <v>0</v>
      </c>
      <c r="BC328" s="196">
        <v>322</v>
      </c>
      <c r="BD328" s="73" t="s">
        <v>293</v>
      </c>
      <c r="BE328" s="139" t="s">
        <v>294</v>
      </c>
      <c r="BF328" s="168">
        <v>5599.2700000000114</v>
      </c>
      <c r="BG328" s="168">
        <v>22674.179999999997</v>
      </c>
    </row>
    <row r="329" spans="1:59">
      <c r="A329" s="139" t="s">
        <v>427</v>
      </c>
      <c r="B329" s="233" t="s">
        <v>426</v>
      </c>
      <c r="C329" s="233" t="str">
        <f t="shared" si="30"/>
        <v>21232 WINLOCK SCHOOL DISTRICT</v>
      </c>
      <c r="D329" s="607"/>
      <c r="E329" s="607"/>
      <c r="F329" s="607"/>
      <c r="G329" s="607">
        <v>1899740.5</v>
      </c>
      <c r="H329" s="607">
        <v>259027.91</v>
      </c>
      <c r="I329" s="607">
        <v>248036.77</v>
      </c>
      <c r="J329" s="607">
        <v>401567.56</v>
      </c>
      <c r="K329" s="607">
        <v>80992.929999999993</v>
      </c>
      <c r="L329" s="607">
        <v>23764.66</v>
      </c>
      <c r="M329" s="607">
        <v>845172.86</v>
      </c>
      <c r="N329" s="608">
        <v>4.3900000000000002E-2</v>
      </c>
      <c r="O329" s="608">
        <v>0.15329999999999999</v>
      </c>
      <c r="P329" s="607"/>
      <c r="Q329" s="607"/>
      <c r="R329" s="607"/>
      <c r="S329" s="607"/>
      <c r="T329" s="607"/>
      <c r="U329" s="607"/>
      <c r="V329" s="607"/>
      <c r="W329" s="607"/>
      <c r="X329" s="607"/>
      <c r="Y329" s="607">
        <v>666.16</v>
      </c>
      <c r="Z329" s="607">
        <v>29017.65</v>
      </c>
      <c r="AA329" s="607">
        <v>29017.65</v>
      </c>
      <c r="AB329" s="607">
        <v>60809.17</v>
      </c>
      <c r="AC329" s="607">
        <v>585341.87</v>
      </c>
      <c r="AD329" s="607">
        <v>52.32</v>
      </c>
      <c r="AE329" s="607">
        <v>492952.34</v>
      </c>
      <c r="AF329" s="148"/>
      <c r="AG329" s="148"/>
      <c r="AH329" s="148"/>
      <c r="AI329" s="607">
        <v>6.19</v>
      </c>
      <c r="AJ329" s="607">
        <v>57161.9</v>
      </c>
      <c r="AK329" s="148"/>
      <c r="AL329" s="148"/>
      <c r="AM329" s="148"/>
      <c r="AN329" s="607"/>
      <c r="AO329" s="607"/>
      <c r="AP329" s="148"/>
      <c r="AQ329" s="168">
        <v>150915.90999999997</v>
      </c>
      <c r="AR329" s="238">
        <v>90023.349999999991</v>
      </c>
      <c r="AU329" s="633">
        <f t="shared" si="27"/>
        <v>0</v>
      </c>
      <c r="AX329" s="358">
        <v>323</v>
      </c>
      <c r="AY329" s="301" t="s">
        <v>426</v>
      </c>
      <c r="AZ329" s="139" t="s">
        <v>427</v>
      </c>
      <c r="BA329" s="633">
        <f t="shared" si="29"/>
        <v>0</v>
      </c>
      <c r="BC329" s="196">
        <v>323</v>
      </c>
      <c r="BD329" s="73" t="s">
        <v>426</v>
      </c>
      <c r="BE329" s="139" t="s">
        <v>427</v>
      </c>
      <c r="BF329" s="168">
        <v>150915.90999999997</v>
      </c>
      <c r="BG329" s="168">
        <v>79799.809999999983</v>
      </c>
    </row>
    <row r="330" spans="1:59">
      <c r="A330" s="139" t="s">
        <v>317</v>
      </c>
      <c r="B330" s="233" t="s">
        <v>316</v>
      </c>
      <c r="C330" s="233" t="str">
        <f t="shared" si="30"/>
        <v>14117 WISHKAH VALLEY SCHOOL DISTRICT</v>
      </c>
      <c r="D330" s="607"/>
      <c r="E330" s="607"/>
      <c r="F330" s="607"/>
      <c r="G330" s="607">
        <v>358093.6</v>
      </c>
      <c r="H330" s="607">
        <v>61320.04</v>
      </c>
      <c r="I330" s="607">
        <v>56593.07</v>
      </c>
      <c r="J330" s="607">
        <v>74057.33</v>
      </c>
      <c r="K330" s="607"/>
      <c r="L330" s="607">
        <v>5416.14</v>
      </c>
      <c r="M330" s="607">
        <v>145784.78</v>
      </c>
      <c r="N330" s="608">
        <v>8.77E-2</v>
      </c>
      <c r="O330" s="608">
        <v>0.26840000000000003</v>
      </c>
      <c r="P330" s="607"/>
      <c r="Q330" s="607"/>
      <c r="R330" s="607"/>
      <c r="S330" s="607"/>
      <c r="T330" s="607"/>
      <c r="U330" s="607"/>
      <c r="V330" s="607"/>
      <c r="W330" s="607"/>
      <c r="X330" s="607"/>
      <c r="Y330" s="607">
        <v>145.03</v>
      </c>
      <c r="Z330" s="607"/>
      <c r="AA330" s="607"/>
      <c r="AB330" s="607">
        <v>40128.17</v>
      </c>
      <c r="AC330" s="607">
        <v>135213.76000000001</v>
      </c>
      <c r="AD330" s="607">
        <v>13.74</v>
      </c>
      <c r="AE330" s="607">
        <v>129450.47</v>
      </c>
      <c r="AF330" s="148"/>
      <c r="AG330" s="148"/>
      <c r="AH330" s="148"/>
      <c r="AI330" s="607">
        <v>4.12</v>
      </c>
      <c r="AJ330" s="607">
        <v>38088.69</v>
      </c>
      <c r="AK330" s="148"/>
      <c r="AL330" s="148"/>
      <c r="AM330" s="148"/>
      <c r="AN330" s="607">
        <v>4833.72</v>
      </c>
      <c r="AO330" s="607"/>
      <c r="AP330" s="148"/>
      <c r="AQ330" s="168">
        <v>0</v>
      </c>
      <c r="AR330" s="238">
        <v>30822.28</v>
      </c>
      <c r="AU330" s="633">
        <f t="shared" si="27"/>
        <v>0</v>
      </c>
      <c r="AX330" s="358">
        <v>324</v>
      </c>
      <c r="AY330" s="301" t="s">
        <v>316</v>
      </c>
      <c r="AZ330" s="139" t="s">
        <v>317</v>
      </c>
      <c r="BA330" s="633">
        <f t="shared" si="29"/>
        <v>0</v>
      </c>
      <c r="BC330" s="196">
        <v>324</v>
      </c>
      <c r="BD330" s="73" t="s">
        <v>316</v>
      </c>
      <c r="BE330" s="139" t="s">
        <v>317</v>
      </c>
      <c r="BF330" s="168">
        <v>0</v>
      </c>
      <c r="BG330" s="168">
        <v>27832.45</v>
      </c>
    </row>
    <row r="331" spans="1:59">
      <c r="A331" s="139" t="s">
        <v>397</v>
      </c>
      <c r="B331" s="233" t="s">
        <v>396</v>
      </c>
      <c r="C331" s="233" t="str">
        <f t="shared" si="30"/>
        <v>20094 WISHRAM SCHOOL DISTRICT</v>
      </c>
      <c r="D331" s="607"/>
      <c r="E331" s="607"/>
      <c r="F331" s="607"/>
      <c r="G331" s="607"/>
      <c r="H331" s="607">
        <v>34630.019999999997</v>
      </c>
      <c r="I331" s="607">
        <v>29401.85</v>
      </c>
      <c r="J331" s="607">
        <v>60572.26</v>
      </c>
      <c r="K331" s="607"/>
      <c r="L331" s="607">
        <v>2542.27</v>
      </c>
      <c r="M331" s="607">
        <v>179922.18</v>
      </c>
      <c r="N331" s="608">
        <v>9.6600000000000005E-2</v>
      </c>
      <c r="O331" s="608">
        <v>0.2898</v>
      </c>
      <c r="P331" s="607"/>
      <c r="Q331" s="607"/>
      <c r="R331" s="607"/>
      <c r="S331" s="607"/>
      <c r="T331" s="607"/>
      <c r="U331" s="607"/>
      <c r="V331" s="607"/>
      <c r="W331" s="607"/>
      <c r="X331" s="607"/>
      <c r="Y331" s="607">
        <v>65.55</v>
      </c>
      <c r="Z331" s="607"/>
      <c r="AA331" s="607"/>
      <c r="AB331" s="607">
        <v>22055.07</v>
      </c>
      <c r="AC331" s="607">
        <v>69851.63</v>
      </c>
      <c r="AD331" s="607">
        <v>7.16</v>
      </c>
      <c r="AE331" s="607">
        <v>67389.179999999993</v>
      </c>
      <c r="AF331" s="148"/>
      <c r="AG331" s="148"/>
      <c r="AH331" s="148"/>
      <c r="AI331" s="607">
        <v>2.27</v>
      </c>
      <c r="AJ331" s="607">
        <v>20914.919999999998</v>
      </c>
      <c r="AK331" s="148"/>
      <c r="AL331" s="148"/>
      <c r="AM331" s="148"/>
      <c r="AN331" s="607"/>
      <c r="AO331" s="607"/>
      <c r="AP331" s="148"/>
      <c r="AQ331" s="168">
        <v>8212.1699999999983</v>
      </c>
      <c r="AR331" s="238">
        <v>21151.94</v>
      </c>
      <c r="AU331" s="633">
        <f t="shared" si="27"/>
        <v>0</v>
      </c>
      <c r="AX331" s="358">
        <v>325</v>
      </c>
      <c r="AY331" s="301" t="s">
        <v>396</v>
      </c>
      <c r="AZ331" s="139" t="s">
        <v>397</v>
      </c>
      <c r="BA331" s="633">
        <f t="shared" si="29"/>
        <v>0</v>
      </c>
      <c r="BC331" s="196">
        <v>325</v>
      </c>
      <c r="BD331" s="73" t="s">
        <v>396</v>
      </c>
      <c r="BE331" s="139" t="s">
        <v>397</v>
      </c>
      <c r="BF331" s="168">
        <v>8212.1699999999983</v>
      </c>
      <c r="BG331" s="168">
        <v>21242.02</v>
      </c>
    </row>
    <row r="332" spans="1:59">
      <c r="A332" s="139" t="s">
        <v>242</v>
      </c>
      <c r="B332" s="233" t="s">
        <v>241</v>
      </c>
      <c r="C332" s="233" t="str">
        <f t="shared" si="30"/>
        <v>08404 WOODLAND SCHOOL DISTRICT</v>
      </c>
      <c r="D332" s="607"/>
      <c r="E332" s="607"/>
      <c r="F332" s="607">
        <v>2920.44</v>
      </c>
      <c r="G332" s="607">
        <v>5972220.8399999999</v>
      </c>
      <c r="H332" s="607">
        <v>871072.65</v>
      </c>
      <c r="I332" s="607">
        <v>112191.34</v>
      </c>
      <c r="J332" s="607">
        <v>790755.4</v>
      </c>
      <c r="K332" s="607">
        <v>333237.34000000003</v>
      </c>
      <c r="L332" s="607">
        <v>73394.13</v>
      </c>
      <c r="M332" s="607">
        <v>9469294.9199999999</v>
      </c>
      <c r="N332" s="608">
        <v>2.12E-2</v>
      </c>
      <c r="O332" s="608">
        <v>0.13489999999999999</v>
      </c>
      <c r="P332" s="607"/>
      <c r="Q332" s="607"/>
      <c r="R332" s="607"/>
      <c r="S332" s="607"/>
      <c r="T332" s="607"/>
      <c r="U332" s="607"/>
      <c r="V332" s="607"/>
      <c r="W332" s="607"/>
      <c r="X332" s="607"/>
      <c r="Y332" s="607">
        <v>1206.96</v>
      </c>
      <c r="Z332" s="607"/>
      <c r="AA332" s="607"/>
      <c r="AB332" s="607">
        <v>78674.509999999995</v>
      </c>
      <c r="AC332" s="607">
        <v>841477.18</v>
      </c>
      <c r="AD332" s="607">
        <v>81.47</v>
      </c>
      <c r="AE332" s="607">
        <v>767402.13</v>
      </c>
      <c r="AF332" s="148"/>
      <c r="AG332" s="148"/>
      <c r="AH332" s="148"/>
      <c r="AI332" s="607">
        <v>7.82</v>
      </c>
      <c r="AJ332" s="607">
        <v>72218.42</v>
      </c>
      <c r="AK332" s="148"/>
      <c r="AL332" s="148"/>
      <c r="AM332" s="148"/>
      <c r="AN332" s="607">
        <v>671.53</v>
      </c>
      <c r="AO332" s="607"/>
      <c r="AP332" s="148"/>
      <c r="AQ332" s="168">
        <v>0</v>
      </c>
      <c r="AR332" s="238">
        <v>241127.05000000002</v>
      </c>
      <c r="AU332" s="633">
        <f t="shared" si="27"/>
        <v>0</v>
      </c>
      <c r="AX332" s="358">
        <v>326</v>
      </c>
      <c r="AY332" s="301" t="s">
        <v>241</v>
      </c>
      <c r="AZ332" s="139" t="s">
        <v>242</v>
      </c>
      <c r="BA332" s="633">
        <f t="shared" si="29"/>
        <v>0</v>
      </c>
      <c r="BC332" s="196">
        <v>326</v>
      </c>
      <c r="BD332" s="73" t="s">
        <v>241</v>
      </c>
      <c r="BE332" s="139" t="s">
        <v>242</v>
      </c>
      <c r="BF332" s="168">
        <v>0</v>
      </c>
      <c r="BG332" s="168">
        <v>209093.13</v>
      </c>
    </row>
    <row r="333" spans="1:59">
      <c r="A333" s="475" t="s">
        <v>1547</v>
      </c>
      <c r="B333" s="233" t="s">
        <v>1510</v>
      </c>
      <c r="C333" s="233" t="str">
        <f t="shared" si="30"/>
        <v>39901 YAKAMA NATION TRIBAL SCHOOL DISTRICT</v>
      </c>
      <c r="D333" s="607">
        <v>22675.5</v>
      </c>
      <c r="E333" s="607"/>
      <c r="F333" s="607"/>
      <c r="G333" s="607">
        <v>299492.01</v>
      </c>
      <c r="H333" s="607">
        <v>56410.28</v>
      </c>
      <c r="I333" s="607"/>
      <c r="J333" s="607"/>
      <c r="K333" s="607"/>
      <c r="L333" s="607"/>
      <c r="M333" s="607"/>
      <c r="N333" s="608">
        <v>3.8699999999999998E-2</v>
      </c>
      <c r="O333" s="608">
        <v>0.1535</v>
      </c>
      <c r="P333" s="607"/>
      <c r="Q333" s="607"/>
      <c r="R333" s="607"/>
      <c r="S333" s="607"/>
      <c r="T333" s="607"/>
      <c r="U333" s="607"/>
      <c r="V333" s="607"/>
      <c r="W333" s="607"/>
      <c r="X333" s="607"/>
      <c r="Y333" s="607">
        <v>124.55</v>
      </c>
      <c r="Z333" s="607"/>
      <c r="AA333" s="607"/>
      <c r="AB333" s="607"/>
      <c r="AC333" s="607"/>
      <c r="AD333" s="607"/>
      <c r="AE333" s="607"/>
      <c r="AF333" s="148"/>
      <c r="AG333" s="148"/>
      <c r="AH333" s="148"/>
      <c r="AI333" s="607"/>
      <c r="AJ333" s="607"/>
      <c r="AK333" s="148"/>
      <c r="AL333" s="148"/>
      <c r="AM333" s="148"/>
      <c r="AN333" s="607"/>
      <c r="AO333" s="607"/>
      <c r="AP333" s="148"/>
      <c r="AQ333" s="168">
        <v>90573.77</v>
      </c>
      <c r="AR333" s="238">
        <v>10851.21</v>
      </c>
      <c r="AU333" s="633">
        <f t="shared" si="27"/>
        <v>0</v>
      </c>
      <c r="AX333" s="358">
        <v>327</v>
      </c>
      <c r="AY333" s="307" t="s">
        <v>1510</v>
      </c>
      <c r="AZ333" s="475" t="s">
        <v>1547</v>
      </c>
      <c r="BA333" s="633">
        <f t="shared" si="29"/>
        <v>0</v>
      </c>
      <c r="BC333" s="196">
        <v>327</v>
      </c>
      <c r="BD333" s="73" t="s">
        <v>1510</v>
      </c>
      <c r="BE333" s="475" t="s">
        <v>1547</v>
      </c>
      <c r="BF333" s="168">
        <v>90573.77</v>
      </c>
      <c r="BG333" s="168">
        <v>8503.52</v>
      </c>
    </row>
    <row r="334" spans="1:59">
      <c r="A334" s="139" t="s">
        <v>716</v>
      </c>
      <c r="B334" s="233" t="s">
        <v>715</v>
      </c>
      <c r="C334" s="233" t="str">
        <f t="shared" si="30"/>
        <v>39007 YAKIMA SCHOOL DISTRICT</v>
      </c>
      <c r="D334" s="607"/>
      <c r="E334" s="607">
        <v>299602.36</v>
      </c>
      <c r="F334" s="607">
        <v>461977.78</v>
      </c>
      <c r="G334" s="607">
        <v>29869495.739999998</v>
      </c>
      <c r="H334" s="607">
        <v>4708656.7699999996</v>
      </c>
      <c r="I334" s="607">
        <v>4799135.84</v>
      </c>
      <c r="J334" s="607">
        <v>9237269.8599999994</v>
      </c>
      <c r="K334" s="607">
        <v>8457818.9000000004</v>
      </c>
      <c r="L334" s="607">
        <v>477503.96</v>
      </c>
      <c r="M334" s="607">
        <v>5162813.51</v>
      </c>
      <c r="N334" s="608">
        <v>5.8999999999999997E-2</v>
      </c>
      <c r="O334" s="608">
        <v>0.14510000000000001</v>
      </c>
      <c r="P334" s="607"/>
      <c r="Q334" s="607"/>
      <c r="R334" s="607"/>
      <c r="S334" s="607">
        <v>404678.88</v>
      </c>
      <c r="T334" s="607"/>
      <c r="U334" s="607">
        <v>13919.17</v>
      </c>
      <c r="V334" s="607"/>
      <c r="W334" s="607"/>
      <c r="X334" s="607"/>
      <c r="Y334" s="607">
        <v>12266.25</v>
      </c>
      <c r="Z334" s="607"/>
      <c r="AA334" s="607"/>
      <c r="AB334" s="607">
        <v>5169196.9800000004</v>
      </c>
      <c r="AC334" s="607">
        <v>9420984.0899999999</v>
      </c>
      <c r="AD334" s="607">
        <v>946.28</v>
      </c>
      <c r="AE334" s="607">
        <v>8913325.8900000006</v>
      </c>
      <c r="AF334" s="148"/>
      <c r="AG334" s="148"/>
      <c r="AH334" s="148"/>
      <c r="AI334" s="607">
        <v>529.64</v>
      </c>
      <c r="AJ334" s="607">
        <v>4893135.09</v>
      </c>
      <c r="AK334" s="148"/>
      <c r="AL334" s="148"/>
      <c r="AM334" s="148"/>
      <c r="AN334" s="607"/>
      <c r="AO334" s="607"/>
      <c r="AP334" s="148"/>
      <c r="AQ334" s="168">
        <v>1578278.589999998</v>
      </c>
      <c r="AR334" s="238">
        <v>1777881.3000000005</v>
      </c>
      <c r="AU334" s="633">
        <f t="shared" si="27"/>
        <v>0</v>
      </c>
      <c r="AX334" s="358">
        <v>328</v>
      </c>
      <c r="AY334" s="301" t="s">
        <v>715</v>
      </c>
      <c r="AZ334" s="139" t="s">
        <v>716</v>
      </c>
      <c r="BA334" s="633">
        <f t="shared" si="29"/>
        <v>0</v>
      </c>
      <c r="BC334" s="196">
        <v>328</v>
      </c>
      <c r="BD334" s="73" t="s">
        <v>715</v>
      </c>
      <c r="BE334" s="139" t="s">
        <v>716</v>
      </c>
      <c r="BF334" s="168">
        <v>1578278.589999998</v>
      </c>
      <c r="BG334" s="168">
        <v>1559805.7500000005</v>
      </c>
    </row>
    <row r="335" spans="1:59">
      <c r="A335" s="139" t="s">
        <v>641</v>
      </c>
      <c r="B335" s="233" t="s">
        <v>640</v>
      </c>
      <c r="C335" s="233" t="str">
        <f t="shared" si="30"/>
        <v>34002 YELM SCHOOL DISTRICT</v>
      </c>
      <c r="D335" s="607"/>
      <c r="E335" s="607">
        <v>109472.35</v>
      </c>
      <c r="F335" s="607">
        <v>21387.26</v>
      </c>
      <c r="G335" s="607">
        <v>14887702.279999999</v>
      </c>
      <c r="H335" s="607">
        <v>2249845.5</v>
      </c>
      <c r="I335" s="607">
        <v>205799.86</v>
      </c>
      <c r="J335" s="607">
        <v>1925989.33</v>
      </c>
      <c r="K335" s="607">
        <v>400647.98</v>
      </c>
      <c r="L335" s="607">
        <v>176167.47</v>
      </c>
      <c r="M335" s="607">
        <v>5365399.76</v>
      </c>
      <c r="N335" s="608">
        <v>1.8599999999999998E-2</v>
      </c>
      <c r="O335" s="608">
        <v>0.13900000000000001</v>
      </c>
      <c r="P335" s="607"/>
      <c r="Q335" s="607"/>
      <c r="R335" s="607"/>
      <c r="S335" s="607"/>
      <c r="T335" s="607"/>
      <c r="U335" s="607"/>
      <c r="V335" s="607"/>
      <c r="W335" s="607"/>
      <c r="X335" s="607"/>
      <c r="Y335" s="607">
        <v>4523.8500000000004</v>
      </c>
      <c r="Z335" s="607"/>
      <c r="AA335" s="607">
        <v>405154.13</v>
      </c>
      <c r="AB335" s="607">
        <v>825.68</v>
      </c>
      <c r="AC335" s="607">
        <v>3699001</v>
      </c>
      <c r="AD335" s="607">
        <v>335.33</v>
      </c>
      <c r="AE335" s="607">
        <v>3287619.22</v>
      </c>
      <c r="AF335" s="148"/>
      <c r="AG335" s="148"/>
      <c r="AH335" s="148"/>
      <c r="AI335" s="607">
        <v>0.09</v>
      </c>
      <c r="AJ335" s="607">
        <v>815.78</v>
      </c>
      <c r="AK335" s="148"/>
      <c r="AL335" s="148"/>
      <c r="AM335" s="148"/>
      <c r="AN335" s="607">
        <v>1200</v>
      </c>
      <c r="AO335" s="607">
        <v>8000</v>
      </c>
      <c r="AP335" s="148"/>
      <c r="AQ335" s="168">
        <v>120229.25</v>
      </c>
      <c r="AR335" s="238">
        <v>613376.27</v>
      </c>
      <c r="AU335" s="633">
        <f t="shared" si="27"/>
        <v>0</v>
      </c>
      <c r="AX335" s="358">
        <v>329</v>
      </c>
      <c r="AY335" s="301" t="s">
        <v>640</v>
      </c>
      <c r="AZ335" s="139" t="s">
        <v>641</v>
      </c>
      <c r="BA335" s="633">
        <f t="shared" si="29"/>
        <v>0</v>
      </c>
      <c r="BC335" s="196">
        <v>329</v>
      </c>
      <c r="BD335" s="73" t="s">
        <v>640</v>
      </c>
      <c r="BE335" s="139" t="s">
        <v>641</v>
      </c>
      <c r="BF335" s="168">
        <v>120229.25</v>
      </c>
      <c r="BG335" s="168">
        <v>516034.45999999996</v>
      </c>
    </row>
    <row r="336" spans="1:59">
      <c r="A336" s="298" t="s">
        <v>733</v>
      </c>
      <c r="B336" s="233" t="s">
        <v>732</v>
      </c>
      <c r="C336" s="233" t="str">
        <f t="shared" si="30"/>
        <v>39205 ZILLAH SCHOOL DISTRICT</v>
      </c>
      <c r="D336" s="607"/>
      <c r="E336" s="607">
        <v>51281.18</v>
      </c>
      <c r="F336" s="607">
        <v>5937.66</v>
      </c>
      <c r="G336" s="607">
        <v>1770402.43</v>
      </c>
      <c r="H336" s="607">
        <v>300695.31</v>
      </c>
      <c r="I336" s="607">
        <v>342211.17</v>
      </c>
      <c r="J336" s="607">
        <v>615117.94999999995</v>
      </c>
      <c r="K336" s="607">
        <v>287126.96999999997</v>
      </c>
      <c r="L336" s="607">
        <v>40786.79</v>
      </c>
      <c r="M336" s="607">
        <v>722389</v>
      </c>
      <c r="N336" s="608">
        <v>6.4600000000000005E-2</v>
      </c>
      <c r="O336" s="608">
        <v>0.2374</v>
      </c>
      <c r="P336" s="607"/>
      <c r="Q336" s="607"/>
      <c r="R336" s="607"/>
      <c r="S336" s="607"/>
      <c r="T336" s="607"/>
      <c r="U336" s="607"/>
      <c r="V336" s="607"/>
      <c r="W336" s="607"/>
      <c r="X336" s="607"/>
      <c r="Y336" s="607">
        <v>1092.25</v>
      </c>
      <c r="Z336" s="607">
        <v>18214.54</v>
      </c>
      <c r="AA336" s="607">
        <v>54643.62</v>
      </c>
      <c r="AB336" s="607"/>
      <c r="AC336" s="607">
        <v>727732.72</v>
      </c>
      <c r="AD336" s="607">
        <v>74.040000000000006</v>
      </c>
      <c r="AE336" s="607">
        <v>697383.78</v>
      </c>
      <c r="AF336" s="148"/>
      <c r="AG336" s="148"/>
      <c r="AH336" s="148"/>
      <c r="AI336" s="607"/>
      <c r="AJ336" s="607"/>
      <c r="AK336" s="148"/>
      <c r="AL336" s="148"/>
      <c r="AM336" s="148"/>
      <c r="AN336" s="607">
        <v>100</v>
      </c>
      <c r="AO336" s="607"/>
      <c r="AP336" s="148"/>
      <c r="AQ336" s="168">
        <v>0</v>
      </c>
      <c r="AR336" s="238">
        <v>150150.84999999998</v>
      </c>
      <c r="AU336" s="633">
        <f t="shared" si="27"/>
        <v>0</v>
      </c>
      <c r="AX336" s="358">
        <v>330</v>
      </c>
      <c r="AY336" s="301" t="s">
        <v>732</v>
      </c>
      <c r="AZ336" s="298" t="s">
        <v>733</v>
      </c>
      <c r="BA336" s="633">
        <f t="shared" si="29"/>
        <v>0</v>
      </c>
      <c r="BC336" s="196">
        <v>330</v>
      </c>
      <c r="BD336" s="73" t="s">
        <v>732</v>
      </c>
      <c r="BE336" s="298" t="s">
        <v>733</v>
      </c>
      <c r="BF336" s="168">
        <v>0</v>
      </c>
      <c r="BG336" s="168">
        <v>135013.80000000002</v>
      </c>
    </row>
    <row r="337" spans="1:53">
      <c r="A337" s="73">
        <f>COUNTA(DISNAME)</f>
        <v>330</v>
      </c>
      <c r="B337" s="73"/>
      <c r="C337" s="73"/>
      <c r="D337" s="274"/>
      <c r="E337" s="274"/>
      <c r="F337" s="274"/>
      <c r="G337" s="274"/>
      <c r="H337" s="274"/>
      <c r="I337" s="274"/>
      <c r="J337" s="274"/>
      <c r="K337" s="274"/>
      <c r="L337" s="274"/>
      <c r="M337" s="274"/>
      <c r="N337" s="73"/>
      <c r="O337" s="73"/>
      <c r="P337" s="274"/>
      <c r="Q337" s="274"/>
      <c r="R337" s="274"/>
      <c r="S337" s="274"/>
      <c r="T337" s="274"/>
      <c r="U337" s="274"/>
      <c r="V337" s="274"/>
      <c r="W337" s="275"/>
      <c r="X337" s="275"/>
      <c r="Y337" s="274"/>
      <c r="Z337" s="274"/>
      <c r="AA337" s="274"/>
      <c r="AB337" s="274"/>
      <c r="AC337" s="274"/>
      <c r="AD337" s="274"/>
      <c r="AE337" s="276"/>
      <c r="AF337" s="276"/>
      <c r="AG337" s="276"/>
      <c r="AH337" s="274"/>
      <c r="AI337" s="274"/>
      <c r="AJ337" s="276"/>
      <c r="AK337" s="276"/>
      <c r="AL337" s="276"/>
      <c r="AM337" s="276"/>
      <c r="AN337" s="274"/>
      <c r="AO337" s="274"/>
      <c r="BA337" s="633">
        <f t="shared" si="29"/>
        <v>0</v>
      </c>
    </row>
  </sheetData>
  <sortState xmlns:xlrd2="http://schemas.microsoft.com/office/spreadsheetml/2017/richdata2" ref="BC7:BE336">
    <sortCondition ref="BC7:BC336"/>
  </sortState>
  <pageMargins left="0.75" right="0.75" top="1" bottom="1" header="0.5" footer="0.5"/>
  <pageSetup orientation="portrait"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66FF33"/>
  </sheetPr>
  <dimension ref="A1:T348"/>
  <sheetViews>
    <sheetView topLeftCell="C1" workbookViewId="0">
      <pane ySplit="6" topLeftCell="A81" activePane="bottomLeft" state="frozen"/>
      <selection pane="bottomLeft" activeCell="F82" sqref="F82"/>
    </sheetView>
  </sheetViews>
  <sheetFormatPr defaultColWidth="9.109375" defaultRowHeight="14.4"/>
  <cols>
    <col min="1" max="1" width="7.77734375" customWidth="1"/>
    <col min="2" max="2" width="6.109375" bestFit="1" customWidth="1"/>
    <col min="3" max="3" width="5.77734375" customWidth="1"/>
    <col min="4" max="4" width="8.88671875" customWidth="1"/>
    <col min="5" max="5" width="25.5546875" bestFit="1" customWidth="1"/>
    <col min="6" max="6" width="9.6640625" bestFit="1" customWidth="1"/>
    <col min="8" max="8" width="11.6640625" bestFit="1" customWidth="1"/>
    <col min="9" max="9" width="5.44140625" customWidth="1"/>
    <col min="10" max="10" width="2.33203125" customWidth="1"/>
    <col min="13" max="13" width="34.88671875" bestFit="1" customWidth="1"/>
    <col min="16" max="17" width="9.109375" style="358"/>
    <col min="19" max="20" width="11.33203125" bestFit="1" customWidth="1"/>
  </cols>
  <sheetData>
    <row r="1" spans="1:20" ht="15" thickBot="1">
      <c r="A1" s="156" t="s">
        <v>1480</v>
      </c>
      <c r="B1" s="416"/>
      <c r="C1" s="416"/>
      <c r="D1" s="191" t="s">
        <v>2625</v>
      </c>
      <c r="E1" s="192"/>
      <c r="F1" s="193"/>
      <c r="G1" s="194"/>
      <c r="H1" s="194"/>
      <c r="J1" s="195"/>
      <c r="M1" s="525"/>
      <c r="N1" s="525"/>
      <c r="O1" s="525"/>
      <c r="P1" s="596"/>
      <c r="Q1" s="596"/>
    </row>
    <row r="2" spans="1:20">
      <c r="A2" t="s">
        <v>2432</v>
      </c>
      <c r="C2" s="413" t="s">
        <v>2623</v>
      </c>
      <c r="D2" s="66"/>
      <c r="F2" s="66">
        <v>619</v>
      </c>
      <c r="G2" s="66">
        <v>609</v>
      </c>
      <c r="H2" s="414">
        <v>620</v>
      </c>
      <c r="J2" s="195"/>
      <c r="M2" s="525"/>
      <c r="N2" s="525"/>
      <c r="O2" s="525"/>
      <c r="P2" s="596" t="s">
        <v>2647</v>
      </c>
      <c r="Q2" s="596"/>
    </row>
    <row r="3" spans="1:20">
      <c r="C3" s="413" t="s">
        <v>2419</v>
      </c>
      <c r="D3" s="66"/>
      <c r="F3" s="66" t="s">
        <v>1191</v>
      </c>
      <c r="G3" s="66" t="s">
        <v>1192</v>
      </c>
      <c r="H3" s="414" t="s">
        <v>1191</v>
      </c>
      <c r="J3" s="195"/>
      <c r="M3" s="525" t="s">
        <v>2412</v>
      </c>
      <c r="N3" s="525"/>
      <c r="O3" s="525"/>
      <c r="P3" s="596" t="s">
        <v>1148</v>
      </c>
      <c r="Q3" s="596" t="s">
        <v>1149</v>
      </c>
    </row>
    <row r="4" spans="1:20">
      <c r="F4" s="66" t="s">
        <v>11</v>
      </c>
      <c r="G4" s="66" t="s">
        <v>775</v>
      </c>
      <c r="H4" s="414" t="s">
        <v>1193</v>
      </c>
      <c r="J4" s="195"/>
      <c r="K4" s="117"/>
      <c r="M4" s="525">
        <v>330</v>
      </c>
      <c r="N4" s="525"/>
      <c r="O4" s="525"/>
      <c r="P4" s="596" t="s">
        <v>1511</v>
      </c>
      <c r="Q4" s="596" t="s">
        <v>750</v>
      </c>
    </row>
    <row r="5" spans="1:20" ht="15">
      <c r="A5" s="415" t="s">
        <v>2420</v>
      </c>
      <c r="B5" s="415" t="s">
        <v>758</v>
      </c>
      <c r="C5" s="66" t="s">
        <v>2401</v>
      </c>
      <c r="D5" s="66" t="s">
        <v>79</v>
      </c>
      <c r="E5" s="413" t="s">
        <v>826</v>
      </c>
      <c r="F5" s="66" t="s">
        <v>1194</v>
      </c>
      <c r="G5" s="66" t="s">
        <v>1194</v>
      </c>
      <c r="H5" s="414" t="s">
        <v>1194</v>
      </c>
      <c r="J5" s="195"/>
      <c r="K5" s="117"/>
      <c r="M5" s="525"/>
      <c r="N5" s="525"/>
      <c r="O5" s="525"/>
      <c r="P5" s="596" t="s">
        <v>1160</v>
      </c>
      <c r="Q5" s="596" t="s">
        <v>1160</v>
      </c>
      <c r="S5" s="200"/>
      <c r="T5" s="200"/>
    </row>
    <row r="6" spans="1:20" ht="15">
      <c r="A6" s="415" t="s">
        <v>2421</v>
      </c>
      <c r="B6" s="415" t="s">
        <v>2421</v>
      </c>
      <c r="C6" s="66"/>
      <c r="D6" s="66" t="s">
        <v>2422</v>
      </c>
      <c r="E6" s="413" t="s">
        <v>2423</v>
      </c>
      <c r="F6" s="592">
        <v>3.8699999999999998E-2</v>
      </c>
      <c r="G6" s="592">
        <v>0.1535</v>
      </c>
      <c r="H6" s="593">
        <v>0.1535</v>
      </c>
      <c r="J6" s="195"/>
      <c r="K6" s="279"/>
      <c r="M6" s="525" t="s">
        <v>1999</v>
      </c>
      <c r="N6" s="525" t="s">
        <v>758</v>
      </c>
      <c r="O6" s="525" t="s">
        <v>759</v>
      </c>
      <c r="P6" s="596">
        <v>3.5000000000000003E-2</v>
      </c>
      <c r="Q6" s="596">
        <v>0.14981409707316898</v>
      </c>
      <c r="S6" s="200"/>
      <c r="T6" s="200"/>
    </row>
    <row r="7" spans="1:20" ht="15">
      <c r="A7" s="415">
        <v>1</v>
      </c>
      <c r="B7" s="415">
        <v>76</v>
      </c>
      <c r="C7" s="66" t="s">
        <v>2402</v>
      </c>
      <c r="D7" s="66" t="s">
        <v>163</v>
      </c>
      <c r="E7" s="413" t="s">
        <v>2007</v>
      </c>
      <c r="F7" s="594">
        <v>4.0599999999999997E-2</v>
      </c>
      <c r="G7" s="594">
        <v>0.3044</v>
      </c>
      <c r="H7" s="594">
        <v>0.3105</v>
      </c>
      <c r="J7" s="195"/>
      <c r="K7" s="232"/>
      <c r="M7" t="s">
        <v>164</v>
      </c>
      <c r="N7" t="s">
        <v>163</v>
      </c>
      <c r="O7" t="s">
        <v>1456</v>
      </c>
      <c r="P7" s="608">
        <v>4.0599999999999997E-2</v>
      </c>
      <c r="Q7" s="608">
        <v>0.3044</v>
      </c>
      <c r="S7" s="200">
        <f t="shared" ref="S7:S70" si="0">+F7-P7</f>
        <v>0</v>
      </c>
      <c r="T7" s="200">
        <f t="shared" ref="T7:T70" si="1">+G7-Q7</f>
        <v>0</v>
      </c>
    </row>
    <row r="8" spans="1:20" ht="15">
      <c r="A8" s="415">
        <v>2</v>
      </c>
      <c r="B8" s="415">
        <v>154</v>
      </c>
      <c r="C8" s="66" t="s">
        <v>2402</v>
      </c>
      <c r="D8" s="66" t="s">
        <v>165</v>
      </c>
      <c r="E8" s="413" t="s">
        <v>2309</v>
      </c>
      <c r="F8" s="594">
        <v>0.14319999999999999</v>
      </c>
      <c r="G8" s="594">
        <v>0.34350000000000003</v>
      </c>
      <c r="H8" s="594">
        <v>0.49209999999999998</v>
      </c>
      <c r="J8" s="195"/>
      <c r="K8" s="232"/>
      <c r="M8" t="s">
        <v>166</v>
      </c>
      <c r="N8" t="s">
        <v>165</v>
      </c>
      <c r="O8" t="s">
        <v>1209</v>
      </c>
      <c r="P8" s="608">
        <v>0.14319999999999999</v>
      </c>
      <c r="Q8" s="608">
        <v>0.34350000000000003</v>
      </c>
      <c r="S8" s="200">
        <f t="shared" si="0"/>
        <v>0</v>
      </c>
      <c r="T8" s="200">
        <f t="shared" si="1"/>
        <v>0</v>
      </c>
    </row>
    <row r="9" spans="1:20" ht="15">
      <c r="A9" s="415">
        <v>3</v>
      </c>
      <c r="B9" s="415">
        <v>165</v>
      </c>
      <c r="C9" s="66" t="s">
        <v>2403</v>
      </c>
      <c r="D9" s="66" t="s">
        <v>167</v>
      </c>
      <c r="E9" s="413" t="s">
        <v>2008</v>
      </c>
      <c r="F9" s="594">
        <v>2.3099999999999999E-2</v>
      </c>
      <c r="G9" s="594">
        <v>0.15140000000000001</v>
      </c>
      <c r="H9" s="594">
        <v>0.1482</v>
      </c>
      <c r="J9" s="195"/>
      <c r="K9" s="232"/>
      <c r="M9" t="s">
        <v>168</v>
      </c>
      <c r="N9" t="s">
        <v>167</v>
      </c>
      <c r="O9" t="s">
        <v>1365</v>
      </c>
      <c r="P9" s="608">
        <v>2.3099999999999999E-2</v>
      </c>
      <c r="Q9" s="608">
        <v>0.15140000000000001</v>
      </c>
      <c r="S9" s="200">
        <f t="shared" si="0"/>
        <v>0</v>
      </c>
      <c r="T9" s="200">
        <f t="shared" si="1"/>
        <v>0</v>
      </c>
    </row>
    <row r="10" spans="1:20" ht="15">
      <c r="A10" s="415">
        <v>4</v>
      </c>
      <c r="B10" s="415">
        <v>221</v>
      </c>
      <c r="C10" s="66" t="s">
        <v>2402</v>
      </c>
      <c r="D10" s="66" t="s">
        <v>169</v>
      </c>
      <c r="E10" s="413" t="s">
        <v>2009</v>
      </c>
      <c r="F10" s="594">
        <v>5.21E-2</v>
      </c>
      <c r="G10" s="594">
        <v>0.18740000000000001</v>
      </c>
      <c r="H10" s="594">
        <v>0.12659999999999999</v>
      </c>
      <c r="J10" s="195"/>
      <c r="K10" s="232"/>
      <c r="M10" t="s">
        <v>170</v>
      </c>
      <c r="N10" t="s">
        <v>169</v>
      </c>
      <c r="O10" t="s">
        <v>1309</v>
      </c>
      <c r="P10" s="608">
        <v>5.21E-2</v>
      </c>
      <c r="Q10" s="608">
        <v>0.18740000000000001</v>
      </c>
      <c r="S10" s="200">
        <f t="shared" si="0"/>
        <v>0</v>
      </c>
      <c r="T10" s="200">
        <f t="shared" si="1"/>
        <v>0</v>
      </c>
    </row>
    <row r="11" spans="1:20" ht="15">
      <c r="A11" s="415">
        <v>5</v>
      </c>
      <c r="B11" s="415">
        <v>234</v>
      </c>
      <c r="C11" s="66" t="s">
        <v>2402</v>
      </c>
      <c r="D11" s="66" t="s">
        <v>171</v>
      </c>
      <c r="E11" s="413" t="s">
        <v>2010</v>
      </c>
      <c r="F11" s="594">
        <v>5.5399999999999998E-2</v>
      </c>
      <c r="G11" s="594">
        <v>0.28949999999999998</v>
      </c>
      <c r="H11" s="594">
        <v>0.31730000000000003</v>
      </c>
      <c r="J11" s="195"/>
      <c r="K11" s="232"/>
      <c r="M11" t="s">
        <v>172</v>
      </c>
      <c r="N11" t="s">
        <v>171</v>
      </c>
      <c r="O11" t="s">
        <v>1394</v>
      </c>
      <c r="P11" s="608">
        <v>5.5399999999999998E-2</v>
      </c>
      <c r="Q11" s="608">
        <v>0.28949999999999998</v>
      </c>
      <c r="S11" s="200">
        <f t="shared" si="0"/>
        <v>0</v>
      </c>
      <c r="T11" s="200">
        <f t="shared" si="1"/>
        <v>0</v>
      </c>
    </row>
    <row r="12" spans="1:20" ht="15">
      <c r="A12" s="415">
        <v>6</v>
      </c>
      <c r="B12" s="415">
        <v>7</v>
      </c>
      <c r="C12" s="66" t="s">
        <v>2403</v>
      </c>
      <c r="D12" s="66" t="s">
        <v>173</v>
      </c>
      <c r="E12" s="413" t="s">
        <v>2011</v>
      </c>
      <c r="F12" s="594">
        <v>5.16E-2</v>
      </c>
      <c r="G12" s="594">
        <v>0.21240000000000001</v>
      </c>
      <c r="H12" s="594">
        <v>0.19670000000000001</v>
      </c>
      <c r="J12" s="195"/>
      <c r="K12" s="232"/>
      <c r="M12" t="s">
        <v>174</v>
      </c>
      <c r="N12" t="s">
        <v>173</v>
      </c>
      <c r="O12" t="s">
        <v>1232</v>
      </c>
      <c r="P12" s="608">
        <v>5.16E-2</v>
      </c>
      <c r="Q12" s="608">
        <v>0.21240000000000001</v>
      </c>
      <c r="S12" s="200">
        <f t="shared" si="0"/>
        <v>0</v>
      </c>
      <c r="T12" s="200">
        <f t="shared" si="1"/>
        <v>0</v>
      </c>
    </row>
    <row r="13" spans="1:20" ht="15">
      <c r="A13" s="415">
        <v>7</v>
      </c>
      <c r="B13" s="415">
        <v>108</v>
      </c>
      <c r="C13" s="66" t="s">
        <v>2403</v>
      </c>
      <c r="D13" s="66" t="s">
        <v>175</v>
      </c>
      <c r="E13" s="413" t="s">
        <v>2012</v>
      </c>
      <c r="F13" s="594">
        <v>5.0700000000000002E-2</v>
      </c>
      <c r="G13" s="594">
        <v>0.22309999999999999</v>
      </c>
      <c r="H13" s="594">
        <v>0.26989999999999997</v>
      </c>
      <c r="J13" s="195"/>
      <c r="K13" s="232"/>
      <c r="M13" t="s">
        <v>1578</v>
      </c>
      <c r="N13" t="s">
        <v>175</v>
      </c>
      <c r="O13" t="s">
        <v>1204</v>
      </c>
      <c r="P13" s="608">
        <v>5.0700000000000002E-2</v>
      </c>
      <c r="Q13" s="608">
        <v>0.22309999999999999</v>
      </c>
      <c r="S13" s="200">
        <f t="shared" si="0"/>
        <v>0</v>
      </c>
      <c r="T13" s="200">
        <f t="shared" si="1"/>
        <v>0</v>
      </c>
    </row>
    <row r="14" spans="1:20" ht="15">
      <c r="A14" s="415">
        <v>8</v>
      </c>
      <c r="B14" s="415">
        <v>127</v>
      </c>
      <c r="C14" s="66" t="s">
        <v>2403</v>
      </c>
      <c r="D14" s="66" t="s">
        <v>177</v>
      </c>
      <c r="E14" s="413" t="s">
        <v>2013</v>
      </c>
      <c r="F14" s="594">
        <v>3.2899999999999999E-2</v>
      </c>
      <c r="G14" s="594">
        <v>0.11169999999999999</v>
      </c>
      <c r="H14" s="594">
        <v>9.8400000000000001E-2</v>
      </c>
      <c r="J14" s="195"/>
      <c r="K14" s="232"/>
      <c r="M14" t="s">
        <v>178</v>
      </c>
      <c r="N14" t="s">
        <v>177</v>
      </c>
      <c r="O14" t="s">
        <v>1297</v>
      </c>
      <c r="P14" s="608">
        <v>3.2899999999999999E-2</v>
      </c>
      <c r="Q14" s="608">
        <v>0.11169999999999999</v>
      </c>
      <c r="S14" s="200">
        <f t="shared" si="0"/>
        <v>0</v>
      </c>
      <c r="T14" s="200">
        <f t="shared" si="1"/>
        <v>0</v>
      </c>
    </row>
    <row r="15" spans="1:20" ht="15">
      <c r="A15" s="415">
        <v>9</v>
      </c>
      <c r="B15" s="415">
        <v>36</v>
      </c>
      <c r="C15" s="66" t="s">
        <v>2403</v>
      </c>
      <c r="D15" s="66" t="s">
        <v>179</v>
      </c>
      <c r="E15" s="413" t="s">
        <v>2014</v>
      </c>
      <c r="F15" s="594">
        <v>0</v>
      </c>
      <c r="G15" s="594">
        <v>0.2457</v>
      </c>
      <c r="H15" s="594">
        <v>0</v>
      </c>
      <c r="J15" s="195"/>
      <c r="K15" s="232"/>
      <c r="M15" t="s">
        <v>180</v>
      </c>
      <c r="N15" t="s">
        <v>179</v>
      </c>
      <c r="O15" t="s">
        <v>1370</v>
      </c>
      <c r="P15" s="608"/>
      <c r="Q15" s="608">
        <v>0.2457</v>
      </c>
      <c r="S15" s="200">
        <f t="shared" si="0"/>
        <v>0</v>
      </c>
      <c r="T15" s="200">
        <f t="shared" si="1"/>
        <v>0</v>
      </c>
    </row>
    <row r="16" spans="1:20" ht="15">
      <c r="A16" s="415">
        <v>10</v>
      </c>
      <c r="B16" s="415">
        <v>105</v>
      </c>
      <c r="C16" s="66" t="s">
        <v>2403</v>
      </c>
      <c r="D16" s="66" t="s">
        <v>181</v>
      </c>
      <c r="E16" s="413" t="s">
        <v>2015</v>
      </c>
      <c r="F16" s="594">
        <v>5.5300000000000002E-2</v>
      </c>
      <c r="G16" s="594">
        <v>0.20050000000000001</v>
      </c>
      <c r="H16" s="594">
        <v>0.19889999999999999</v>
      </c>
      <c r="J16" s="195"/>
      <c r="K16" s="232"/>
      <c r="M16" t="s">
        <v>182</v>
      </c>
      <c r="N16" t="s">
        <v>181</v>
      </c>
      <c r="O16" t="s">
        <v>2456</v>
      </c>
      <c r="P16" s="608">
        <v>5.5300000000000002E-2</v>
      </c>
      <c r="Q16" s="608">
        <v>0.20050000000000001</v>
      </c>
      <c r="S16" s="200">
        <f t="shared" si="0"/>
        <v>0</v>
      </c>
      <c r="T16" s="200">
        <f t="shared" si="1"/>
        <v>0</v>
      </c>
    </row>
    <row r="17" spans="1:20" ht="15">
      <c r="A17" s="415">
        <v>11</v>
      </c>
      <c r="B17" s="415">
        <v>292</v>
      </c>
      <c r="C17" s="66" t="s">
        <v>2403</v>
      </c>
      <c r="D17" s="66" t="s">
        <v>183</v>
      </c>
      <c r="E17" s="413" t="s">
        <v>2016</v>
      </c>
      <c r="F17" s="594">
        <v>2.7699999999999999E-2</v>
      </c>
      <c r="G17" s="594">
        <v>0.19409999999999999</v>
      </c>
      <c r="H17" s="594">
        <v>0.2039</v>
      </c>
      <c r="J17" s="195"/>
      <c r="K17" s="232"/>
      <c r="M17" t="s">
        <v>184</v>
      </c>
      <c r="N17" t="s">
        <v>183</v>
      </c>
      <c r="O17" t="s">
        <v>1270</v>
      </c>
      <c r="P17" s="608">
        <v>2.7699999999999999E-2</v>
      </c>
      <c r="Q17" s="608">
        <v>0.19409999999999999</v>
      </c>
      <c r="S17" s="200">
        <f t="shared" si="0"/>
        <v>0</v>
      </c>
      <c r="T17" s="200">
        <f t="shared" si="1"/>
        <v>0</v>
      </c>
    </row>
    <row r="18" spans="1:20" ht="15">
      <c r="A18" s="415">
        <v>12</v>
      </c>
      <c r="B18" s="415">
        <v>2</v>
      </c>
      <c r="C18" s="66" t="s">
        <v>2403</v>
      </c>
      <c r="D18" s="66" t="s">
        <v>185</v>
      </c>
      <c r="E18" s="413" t="s">
        <v>2017</v>
      </c>
      <c r="F18" s="594">
        <v>4.1599999999999998E-2</v>
      </c>
      <c r="G18" s="594">
        <v>0.17749999999999999</v>
      </c>
      <c r="H18" s="594">
        <v>0.1779</v>
      </c>
      <c r="J18" s="195"/>
      <c r="K18" s="232"/>
      <c r="M18" t="s">
        <v>186</v>
      </c>
      <c r="N18" t="s">
        <v>185</v>
      </c>
      <c r="O18" t="s">
        <v>1379</v>
      </c>
      <c r="P18" s="608">
        <v>4.1599999999999998E-2</v>
      </c>
      <c r="Q18" s="608">
        <v>0.17749999999999999</v>
      </c>
      <c r="S18" s="200">
        <f t="shared" si="0"/>
        <v>0</v>
      </c>
      <c r="T18" s="200">
        <f t="shared" si="1"/>
        <v>0</v>
      </c>
    </row>
    <row r="19" spans="1:20" ht="15">
      <c r="A19" s="415">
        <v>13</v>
      </c>
      <c r="B19" s="415">
        <v>207</v>
      </c>
      <c r="C19" s="66" t="s">
        <v>2403</v>
      </c>
      <c r="D19" s="66" t="s">
        <v>187</v>
      </c>
      <c r="E19" s="413" t="s">
        <v>2018</v>
      </c>
      <c r="F19" s="594">
        <v>3.95E-2</v>
      </c>
      <c r="G19" s="594">
        <v>0.15060000000000001</v>
      </c>
      <c r="H19" s="594">
        <v>0.153</v>
      </c>
      <c r="J19" s="195"/>
      <c r="K19" s="232"/>
      <c r="M19" t="s">
        <v>188</v>
      </c>
      <c r="N19" t="s">
        <v>187</v>
      </c>
      <c r="O19" t="s">
        <v>1392</v>
      </c>
      <c r="P19" s="608">
        <v>3.95E-2</v>
      </c>
      <c r="Q19" s="608">
        <v>0.15060000000000001</v>
      </c>
      <c r="S19" s="200">
        <f t="shared" si="0"/>
        <v>0</v>
      </c>
      <c r="T19" s="200">
        <f t="shared" si="1"/>
        <v>0</v>
      </c>
    </row>
    <row r="20" spans="1:20" ht="15">
      <c r="A20" s="415">
        <v>14</v>
      </c>
      <c r="B20" s="415">
        <v>141</v>
      </c>
      <c r="C20" s="66" t="s">
        <v>2404</v>
      </c>
      <c r="D20" s="66" t="s">
        <v>189</v>
      </c>
      <c r="E20" s="413" t="s">
        <v>2019</v>
      </c>
      <c r="F20" s="594">
        <v>6.3700000000000007E-2</v>
      </c>
      <c r="G20" s="594">
        <v>0.1953</v>
      </c>
      <c r="H20" s="594">
        <v>0.26529999999999998</v>
      </c>
      <c r="J20" s="195"/>
      <c r="K20" s="232"/>
      <c r="M20" t="s">
        <v>190</v>
      </c>
      <c r="N20" t="s">
        <v>189</v>
      </c>
      <c r="O20" t="s">
        <v>1317</v>
      </c>
      <c r="P20" s="608">
        <v>6.3700000000000007E-2</v>
      </c>
      <c r="Q20" s="608">
        <v>0.1953</v>
      </c>
      <c r="S20" s="200">
        <f t="shared" si="0"/>
        <v>0</v>
      </c>
      <c r="T20" s="200">
        <f t="shared" si="1"/>
        <v>0</v>
      </c>
    </row>
    <row r="21" spans="1:20" ht="15">
      <c r="A21" s="415">
        <v>15</v>
      </c>
      <c r="B21" s="415">
        <v>294</v>
      </c>
      <c r="C21" s="66" t="s">
        <v>2404</v>
      </c>
      <c r="D21" s="66" t="s">
        <v>191</v>
      </c>
      <c r="E21" s="413" t="s">
        <v>2310</v>
      </c>
      <c r="F21" s="594">
        <v>0.1666</v>
      </c>
      <c r="G21" s="594">
        <v>0.40450000000000003</v>
      </c>
      <c r="H21" s="594">
        <v>0.25230000000000002</v>
      </c>
      <c r="J21" s="195"/>
      <c r="K21" s="232"/>
      <c r="M21" t="s">
        <v>192</v>
      </c>
      <c r="N21" t="s">
        <v>191</v>
      </c>
      <c r="O21" t="s">
        <v>1421</v>
      </c>
      <c r="P21" s="608">
        <v>0.1666</v>
      </c>
      <c r="Q21" s="608">
        <v>0.40450000000000003</v>
      </c>
      <c r="S21" s="200">
        <f t="shared" si="0"/>
        <v>0</v>
      </c>
      <c r="T21" s="200">
        <f t="shared" si="1"/>
        <v>0</v>
      </c>
    </row>
    <row r="22" spans="1:20" ht="15">
      <c r="A22" s="415">
        <v>16</v>
      </c>
      <c r="B22" s="415">
        <v>156</v>
      </c>
      <c r="C22" s="66" t="s">
        <v>2404</v>
      </c>
      <c r="D22" s="66" t="s">
        <v>193</v>
      </c>
      <c r="E22" s="413" t="s">
        <v>2020</v>
      </c>
      <c r="F22" s="594">
        <v>8.4199999999999997E-2</v>
      </c>
      <c r="G22" s="594">
        <v>0.20150000000000001</v>
      </c>
      <c r="H22" s="594">
        <v>0.17380000000000001</v>
      </c>
      <c r="J22" s="195"/>
      <c r="K22" s="232"/>
      <c r="M22" t="s">
        <v>194</v>
      </c>
      <c r="N22" t="s">
        <v>193</v>
      </c>
      <c r="O22" t="s">
        <v>1262</v>
      </c>
      <c r="P22" s="608">
        <v>8.4199999999999997E-2</v>
      </c>
      <c r="Q22" s="608">
        <v>0.20150000000000001</v>
      </c>
      <c r="S22" s="200">
        <f t="shared" si="0"/>
        <v>0</v>
      </c>
      <c r="T22" s="200">
        <f t="shared" si="1"/>
        <v>0</v>
      </c>
    </row>
    <row r="23" spans="1:20" ht="15">
      <c r="A23" s="415">
        <v>17</v>
      </c>
      <c r="B23" s="415">
        <v>126</v>
      </c>
      <c r="C23" s="66" t="s">
        <v>2404</v>
      </c>
      <c r="D23" s="66" t="s">
        <v>195</v>
      </c>
      <c r="E23" s="413" t="s">
        <v>2021</v>
      </c>
      <c r="F23" s="594">
        <v>5.04E-2</v>
      </c>
      <c r="G23" s="594">
        <v>0.2036</v>
      </c>
      <c r="H23" s="594">
        <v>0.14849999999999999</v>
      </c>
      <c r="J23" s="195"/>
      <c r="K23" s="232"/>
      <c r="M23" t="s">
        <v>196</v>
      </c>
      <c r="N23" t="s">
        <v>195</v>
      </c>
      <c r="O23" t="s">
        <v>1303</v>
      </c>
      <c r="P23" s="608">
        <v>5.04E-2</v>
      </c>
      <c r="Q23" s="608">
        <v>0.2036</v>
      </c>
      <c r="S23" s="200">
        <f t="shared" si="0"/>
        <v>0</v>
      </c>
      <c r="T23" s="200">
        <f t="shared" si="1"/>
        <v>0</v>
      </c>
    </row>
    <row r="24" spans="1:20" ht="15">
      <c r="A24" s="415">
        <v>18</v>
      </c>
      <c r="B24" s="415">
        <v>181</v>
      </c>
      <c r="C24" s="66" t="s">
        <v>2404</v>
      </c>
      <c r="D24" s="66" t="s">
        <v>197</v>
      </c>
      <c r="E24" s="413" t="s">
        <v>2022</v>
      </c>
      <c r="F24" s="594">
        <v>3.4700000000000002E-2</v>
      </c>
      <c r="G24" s="594">
        <v>0.15720000000000001</v>
      </c>
      <c r="H24" s="594">
        <v>0.16259999999999999</v>
      </c>
      <c r="J24" s="195"/>
      <c r="K24" s="232"/>
      <c r="M24" t="s">
        <v>198</v>
      </c>
      <c r="N24" t="s">
        <v>197</v>
      </c>
      <c r="O24" t="s">
        <v>1222</v>
      </c>
      <c r="P24" s="608">
        <v>3.4700000000000002E-2</v>
      </c>
      <c r="Q24" s="608">
        <v>0.15720000000000001</v>
      </c>
      <c r="S24" s="200">
        <f t="shared" si="0"/>
        <v>0</v>
      </c>
      <c r="T24" s="200">
        <f t="shared" si="1"/>
        <v>0</v>
      </c>
    </row>
    <row r="25" spans="1:20" ht="15">
      <c r="A25" s="415">
        <v>19</v>
      </c>
      <c r="B25" s="415">
        <v>50</v>
      </c>
      <c r="C25" s="66" t="s">
        <v>2404</v>
      </c>
      <c r="D25" s="66" t="s">
        <v>199</v>
      </c>
      <c r="E25" s="413" t="s">
        <v>2023</v>
      </c>
      <c r="F25" s="594">
        <v>0</v>
      </c>
      <c r="G25" s="594">
        <v>0.15809999999999999</v>
      </c>
      <c r="H25" s="594">
        <v>3.7999999999999999E-2</v>
      </c>
      <c r="J25" s="195"/>
      <c r="K25" s="232"/>
      <c r="M25" t="s">
        <v>200</v>
      </c>
      <c r="N25" t="s">
        <v>199</v>
      </c>
      <c r="O25" t="s">
        <v>1221</v>
      </c>
      <c r="P25" s="608"/>
      <c r="Q25" s="608">
        <v>0.15809999999999999</v>
      </c>
      <c r="S25" s="200">
        <f t="shared" si="0"/>
        <v>0</v>
      </c>
      <c r="T25" s="200">
        <f t="shared" si="1"/>
        <v>0</v>
      </c>
    </row>
    <row r="26" spans="1:20" ht="15">
      <c r="A26" s="415">
        <v>20</v>
      </c>
      <c r="B26" s="415">
        <v>93</v>
      </c>
      <c r="C26" s="66" t="s">
        <v>2404</v>
      </c>
      <c r="D26" s="66" t="s">
        <v>201</v>
      </c>
      <c r="E26" s="413" t="s">
        <v>2024</v>
      </c>
      <c r="F26" s="594">
        <v>2.87E-2</v>
      </c>
      <c r="G26" s="594">
        <v>0.1293</v>
      </c>
      <c r="H26" s="594">
        <v>0.13020000000000001</v>
      </c>
      <c r="J26" s="195"/>
      <c r="K26" s="232"/>
      <c r="M26" t="s">
        <v>202</v>
      </c>
      <c r="N26" t="s">
        <v>201</v>
      </c>
      <c r="O26" t="s">
        <v>1459</v>
      </c>
      <c r="P26" s="608">
        <v>2.87E-2</v>
      </c>
      <c r="Q26" s="608">
        <v>0.1293</v>
      </c>
      <c r="S26" s="200">
        <f t="shared" si="0"/>
        <v>0</v>
      </c>
      <c r="T26" s="200">
        <f t="shared" si="1"/>
        <v>0</v>
      </c>
    </row>
    <row r="27" spans="1:20" ht="15">
      <c r="A27" s="415">
        <v>21</v>
      </c>
      <c r="B27" s="415">
        <v>219</v>
      </c>
      <c r="C27" s="66"/>
      <c r="D27" s="418" t="s">
        <v>760</v>
      </c>
      <c r="E27" s="417" t="s">
        <v>1599</v>
      </c>
      <c r="F27" s="420">
        <v>0</v>
      </c>
      <c r="G27" s="473">
        <v>0.11</v>
      </c>
      <c r="H27" s="420">
        <v>0</v>
      </c>
      <c r="J27" s="195"/>
      <c r="K27" s="232"/>
      <c r="M27" t="s">
        <v>1599</v>
      </c>
      <c r="N27" t="s">
        <v>760</v>
      </c>
      <c r="O27" t="s">
        <v>1652</v>
      </c>
      <c r="P27" s="608"/>
      <c r="Q27" s="608">
        <v>0.11</v>
      </c>
      <c r="S27" s="200">
        <f t="shared" si="0"/>
        <v>0</v>
      </c>
      <c r="T27" s="200">
        <f t="shared" si="1"/>
        <v>0</v>
      </c>
    </row>
    <row r="28" spans="1:20" ht="15">
      <c r="A28" s="415">
        <v>22</v>
      </c>
      <c r="B28" s="415">
        <v>35</v>
      </c>
      <c r="C28" s="66" t="s">
        <v>2405</v>
      </c>
      <c r="D28" s="66" t="s">
        <v>1655</v>
      </c>
      <c r="E28" s="413" t="s">
        <v>2025</v>
      </c>
      <c r="F28" s="595">
        <v>3.8699999999999998E-2</v>
      </c>
      <c r="G28" s="595">
        <v>0.1535</v>
      </c>
      <c r="H28" s="595">
        <v>0.1535</v>
      </c>
      <c r="J28" s="195"/>
      <c r="K28" s="232"/>
      <c r="M28" t="s">
        <v>1637</v>
      </c>
      <c r="N28" t="s">
        <v>1655</v>
      </c>
      <c r="O28" t="s">
        <v>1656</v>
      </c>
      <c r="P28" s="608">
        <v>3.8699999999999998E-2</v>
      </c>
      <c r="Q28" s="608">
        <v>0.1535</v>
      </c>
      <c r="S28" s="200">
        <f t="shared" si="0"/>
        <v>0</v>
      </c>
      <c r="T28" s="200">
        <f t="shared" si="1"/>
        <v>0</v>
      </c>
    </row>
    <row r="29" spans="1:20" ht="15">
      <c r="A29" s="415">
        <v>23</v>
      </c>
      <c r="B29" s="415">
        <v>26</v>
      </c>
      <c r="C29" s="66" t="s">
        <v>2406</v>
      </c>
      <c r="D29" s="66" t="s">
        <v>203</v>
      </c>
      <c r="E29" s="413" t="s">
        <v>2026</v>
      </c>
      <c r="F29" s="594">
        <v>8.0100000000000005E-2</v>
      </c>
      <c r="G29" s="594">
        <v>0.16220000000000001</v>
      </c>
      <c r="H29" s="594">
        <v>0.18529999999999999</v>
      </c>
      <c r="J29" s="195"/>
      <c r="K29" s="232"/>
      <c r="M29" t="s">
        <v>204</v>
      </c>
      <c r="N29" t="s">
        <v>203</v>
      </c>
      <c r="O29" t="s">
        <v>1375</v>
      </c>
      <c r="P29" s="608">
        <v>8.0100000000000005E-2</v>
      </c>
      <c r="Q29" s="608">
        <v>0.16220000000000001</v>
      </c>
      <c r="S29" s="200">
        <f t="shared" si="0"/>
        <v>0</v>
      </c>
      <c r="T29" s="200">
        <f t="shared" si="1"/>
        <v>0</v>
      </c>
    </row>
    <row r="30" spans="1:20" ht="15">
      <c r="A30" s="415">
        <v>24</v>
      </c>
      <c r="B30" s="415">
        <v>199</v>
      </c>
      <c r="C30" s="66" t="s">
        <v>2406</v>
      </c>
      <c r="D30" s="66" t="s">
        <v>205</v>
      </c>
      <c r="E30" s="413" t="s">
        <v>2027</v>
      </c>
      <c r="F30" s="594">
        <v>6.5699999999999995E-2</v>
      </c>
      <c r="G30" s="594">
        <v>0.1973</v>
      </c>
      <c r="H30" s="594">
        <v>0.17419999999999999</v>
      </c>
      <c r="J30" s="195"/>
      <c r="K30" s="232"/>
      <c r="M30" t="s">
        <v>206</v>
      </c>
      <c r="N30" t="s">
        <v>205</v>
      </c>
      <c r="O30" t="s">
        <v>1244</v>
      </c>
      <c r="P30" s="608">
        <v>6.5699999999999995E-2</v>
      </c>
      <c r="Q30" s="608">
        <v>0.1973</v>
      </c>
      <c r="S30" s="200">
        <f t="shared" si="0"/>
        <v>0</v>
      </c>
      <c r="T30" s="200">
        <f t="shared" si="1"/>
        <v>0</v>
      </c>
    </row>
    <row r="31" spans="1:20" ht="15">
      <c r="A31" s="415">
        <v>25</v>
      </c>
      <c r="B31" s="415">
        <v>19</v>
      </c>
      <c r="C31" s="66" t="s">
        <v>2406</v>
      </c>
      <c r="D31" s="66" t="s">
        <v>207</v>
      </c>
      <c r="E31" s="413" t="s">
        <v>2028</v>
      </c>
      <c r="F31" s="594">
        <v>6.1800000000000001E-2</v>
      </c>
      <c r="G31" s="594">
        <v>0.19589999999999999</v>
      </c>
      <c r="H31" s="594">
        <v>0.23230000000000001</v>
      </c>
      <c r="J31" s="195"/>
      <c r="K31" s="232"/>
      <c r="M31" t="s">
        <v>208</v>
      </c>
      <c r="N31" t="s">
        <v>207</v>
      </c>
      <c r="O31" t="s">
        <v>1404</v>
      </c>
      <c r="P31" s="608">
        <v>6.1800000000000001E-2</v>
      </c>
      <c r="Q31" s="608">
        <v>0.19589999999999999</v>
      </c>
      <c r="S31" s="200">
        <f t="shared" si="0"/>
        <v>0</v>
      </c>
      <c r="T31" s="200">
        <f t="shared" si="1"/>
        <v>0</v>
      </c>
    </row>
    <row r="32" spans="1:20" ht="15">
      <c r="A32" s="415">
        <v>26</v>
      </c>
      <c r="B32" s="415">
        <v>18</v>
      </c>
      <c r="C32" s="66" t="s">
        <v>2406</v>
      </c>
      <c r="D32" s="66" t="s">
        <v>209</v>
      </c>
      <c r="E32" s="413" t="s">
        <v>2029</v>
      </c>
      <c r="F32" s="594">
        <v>6.4100000000000004E-2</v>
      </c>
      <c r="G32" s="594">
        <v>0.23</v>
      </c>
      <c r="H32" s="594">
        <v>0.24479999999999999</v>
      </c>
      <c r="J32" s="195"/>
      <c r="K32" s="232"/>
      <c r="M32" t="s">
        <v>210</v>
      </c>
      <c r="N32" t="s">
        <v>209</v>
      </c>
      <c r="O32" t="s">
        <v>1219</v>
      </c>
      <c r="P32" s="608">
        <v>6.4100000000000004E-2</v>
      </c>
      <c r="Q32" s="608">
        <v>0.23</v>
      </c>
      <c r="S32" s="200">
        <f t="shared" si="0"/>
        <v>0</v>
      </c>
      <c r="T32" s="200">
        <f t="shared" si="1"/>
        <v>0</v>
      </c>
    </row>
    <row r="33" spans="1:20" ht="15">
      <c r="A33" s="415">
        <v>27</v>
      </c>
      <c r="B33" s="415">
        <v>45</v>
      </c>
      <c r="C33" s="66" t="s">
        <v>2406</v>
      </c>
      <c r="D33" s="66" t="s">
        <v>211</v>
      </c>
      <c r="E33" s="413" t="s">
        <v>2030</v>
      </c>
      <c r="F33" s="594">
        <v>1.6299999999999999E-2</v>
      </c>
      <c r="G33" s="594">
        <v>9.7100000000000006E-2</v>
      </c>
      <c r="H33" s="594">
        <v>9.6600000000000005E-2</v>
      </c>
      <c r="J33" s="195"/>
      <c r="K33" s="232"/>
      <c r="M33" t="s">
        <v>212</v>
      </c>
      <c r="N33" t="s">
        <v>211</v>
      </c>
      <c r="O33" t="s">
        <v>1384</v>
      </c>
      <c r="P33" s="608">
        <v>1.6299999999999999E-2</v>
      </c>
      <c r="Q33" s="608">
        <v>9.7100000000000006E-2</v>
      </c>
      <c r="S33" s="200">
        <f t="shared" si="0"/>
        <v>0</v>
      </c>
      <c r="T33" s="200">
        <f t="shared" si="1"/>
        <v>0</v>
      </c>
    </row>
    <row r="34" spans="1:20" ht="15">
      <c r="A34" s="415">
        <v>28</v>
      </c>
      <c r="B34" s="415">
        <v>132</v>
      </c>
      <c r="C34" s="66" t="s">
        <v>2405</v>
      </c>
      <c r="D34" s="66" t="s">
        <v>1481</v>
      </c>
      <c r="E34" s="413" t="s">
        <v>1493</v>
      </c>
      <c r="F34" s="595">
        <v>3.8699999999999998E-2</v>
      </c>
      <c r="G34" s="595">
        <v>0.1535</v>
      </c>
      <c r="H34" s="595">
        <v>0.1535</v>
      </c>
      <c r="J34" s="195"/>
      <c r="K34" s="232"/>
      <c r="M34" t="s">
        <v>1640</v>
      </c>
      <c r="N34" t="s">
        <v>1481</v>
      </c>
      <c r="O34" t="s">
        <v>2468</v>
      </c>
      <c r="P34" s="608">
        <v>3.8699999999999998E-2</v>
      </c>
      <c r="Q34" s="608">
        <v>0.1535</v>
      </c>
      <c r="S34" s="200">
        <f t="shared" si="0"/>
        <v>0</v>
      </c>
      <c r="T34" s="200">
        <f t="shared" si="1"/>
        <v>0</v>
      </c>
    </row>
    <row r="35" spans="1:20" ht="15">
      <c r="A35" s="415">
        <v>29</v>
      </c>
      <c r="B35" s="415">
        <v>142</v>
      </c>
      <c r="C35" s="66" t="s">
        <v>2407</v>
      </c>
      <c r="D35" s="66" t="s">
        <v>213</v>
      </c>
      <c r="E35" s="413" t="s">
        <v>2031</v>
      </c>
      <c r="F35" s="594">
        <v>5.9400000000000001E-2</v>
      </c>
      <c r="G35" s="594">
        <v>0.16569999999999999</v>
      </c>
      <c r="H35" s="594">
        <v>0.15079999999999999</v>
      </c>
      <c r="J35" s="195"/>
      <c r="K35" s="232"/>
      <c r="M35" t="s">
        <v>214</v>
      </c>
      <c r="N35" t="s">
        <v>213</v>
      </c>
      <c r="O35" t="s">
        <v>1448</v>
      </c>
      <c r="P35" s="608">
        <v>5.9400000000000001E-2</v>
      </c>
      <c r="Q35" s="608">
        <v>0.16569999999999999</v>
      </c>
      <c r="S35" s="200">
        <f t="shared" si="0"/>
        <v>0</v>
      </c>
      <c r="T35" s="200">
        <f t="shared" si="1"/>
        <v>0</v>
      </c>
    </row>
    <row r="36" spans="1:20" ht="15">
      <c r="A36" s="415">
        <v>30</v>
      </c>
      <c r="B36" s="415">
        <v>129</v>
      </c>
      <c r="C36" s="66" t="s">
        <v>2407</v>
      </c>
      <c r="D36" s="66" t="s">
        <v>215</v>
      </c>
      <c r="E36" s="413" t="s">
        <v>2032</v>
      </c>
      <c r="F36" s="594">
        <v>4.2299999999999997E-2</v>
      </c>
      <c r="G36" s="594">
        <v>0.2041</v>
      </c>
      <c r="H36" s="594">
        <v>0.21440000000000001</v>
      </c>
      <c r="J36" s="195"/>
      <c r="K36" s="232"/>
      <c r="M36" t="s">
        <v>216</v>
      </c>
      <c r="N36" t="s">
        <v>215</v>
      </c>
      <c r="O36" t="s">
        <v>1287</v>
      </c>
      <c r="P36" s="608">
        <v>4.2299999999999997E-2</v>
      </c>
      <c r="Q36" s="608">
        <v>0.2041</v>
      </c>
      <c r="S36" s="200">
        <f t="shared" si="0"/>
        <v>0</v>
      </c>
      <c r="T36" s="200">
        <f t="shared" si="1"/>
        <v>0</v>
      </c>
    </row>
    <row r="37" spans="1:20" ht="15">
      <c r="A37" s="415">
        <v>31</v>
      </c>
      <c r="B37" s="415">
        <v>250</v>
      </c>
      <c r="C37" s="66" t="s">
        <v>2407</v>
      </c>
      <c r="D37" s="66" t="s">
        <v>217</v>
      </c>
      <c r="E37" s="413" t="s">
        <v>2033</v>
      </c>
      <c r="F37" s="594">
        <v>3.7600000000000001E-2</v>
      </c>
      <c r="G37" s="594">
        <v>0.1988</v>
      </c>
      <c r="H37" s="594">
        <v>0.18540000000000001</v>
      </c>
      <c r="J37" s="195"/>
      <c r="K37" s="232"/>
      <c r="M37" t="s">
        <v>1195</v>
      </c>
      <c r="N37" t="s">
        <v>217</v>
      </c>
      <c r="O37" t="s">
        <v>2457</v>
      </c>
      <c r="P37" s="608">
        <v>3.7600000000000001E-2</v>
      </c>
      <c r="Q37" s="608">
        <v>0.1988</v>
      </c>
      <c r="S37" s="200">
        <f t="shared" si="0"/>
        <v>0</v>
      </c>
      <c r="T37" s="200">
        <f t="shared" si="1"/>
        <v>0</v>
      </c>
    </row>
    <row r="38" spans="1:20" ht="15">
      <c r="A38" s="415">
        <v>32</v>
      </c>
      <c r="B38" s="415">
        <v>162</v>
      </c>
      <c r="C38" s="66" t="s">
        <v>2407</v>
      </c>
      <c r="D38" s="66" t="s">
        <v>218</v>
      </c>
      <c r="E38" s="413" t="s">
        <v>2034</v>
      </c>
      <c r="F38" s="594">
        <v>7.8100000000000003E-2</v>
      </c>
      <c r="G38" s="594">
        <v>0.24959999999999999</v>
      </c>
      <c r="H38" s="594">
        <v>0.25559999999999999</v>
      </c>
      <c r="J38" s="195"/>
      <c r="K38" s="232"/>
      <c r="M38" t="s">
        <v>219</v>
      </c>
      <c r="N38" t="s">
        <v>218</v>
      </c>
      <c r="O38" t="s">
        <v>1282</v>
      </c>
      <c r="P38" s="608">
        <v>7.8100000000000003E-2</v>
      </c>
      <c r="Q38" s="608">
        <v>0.24959999999999999</v>
      </c>
      <c r="S38" s="200">
        <f t="shared" si="0"/>
        <v>0</v>
      </c>
      <c r="T38" s="200">
        <f t="shared" si="1"/>
        <v>0</v>
      </c>
    </row>
    <row r="39" spans="1:20" ht="15">
      <c r="A39" s="415">
        <v>33</v>
      </c>
      <c r="B39" s="415">
        <v>160</v>
      </c>
      <c r="C39" s="66" t="s">
        <v>2407</v>
      </c>
      <c r="D39" s="66" t="s">
        <v>220</v>
      </c>
      <c r="E39" s="413" t="s">
        <v>2035</v>
      </c>
      <c r="F39" s="594">
        <v>3.6299999999999999E-2</v>
      </c>
      <c r="G39" s="594">
        <v>0.1633</v>
      </c>
      <c r="H39" s="594">
        <v>0.1694</v>
      </c>
      <c r="J39" s="195"/>
      <c r="K39" s="232"/>
      <c r="M39" t="s">
        <v>221</v>
      </c>
      <c r="N39" t="s">
        <v>220</v>
      </c>
      <c r="O39" t="s">
        <v>1455</v>
      </c>
      <c r="P39" s="608">
        <v>3.6299999999999999E-2</v>
      </c>
      <c r="Q39" s="608">
        <v>0.1633</v>
      </c>
      <c r="S39" s="200">
        <f t="shared" si="0"/>
        <v>0</v>
      </c>
      <c r="T39" s="200">
        <f t="shared" si="1"/>
        <v>0</v>
      </c>
    </row>
    <row r="40" spans="1:20" ht="15">
      <c r="A40" s="415">
        <v>34</v>
      </c>
      <c r="B40" s="415">
        <v>252</v>
      </c>
      <c r="C40" s="66" t="s">
        <v>2407</v>
      </c>
      <c r="D40" s="66" t="s">
        <v>222</v>
      </c>
      <c r="E40" s="413" t="s">
        <v>2036</v>
      </c>
      <c r="F40" s="594">
        <v>2.8899999999999999E-2</v>
      </c>
      <c r="G40" s="594">
        <v>0.11559999999999999</v>
      </c>
      <c r="H40" s="594">
        <v>0.1449</v>
      </c>
      <c r="J40" s="195"/>
      <c r="K40" s="232"/>
      <c r="M40" t="s">
        <v>801</v>
      </c>
      <c r="N40" t="s">
        <v>222</v>
      </c>
      <c r="O40" t="s">
        <v>2451</v>
      </c>
      <c r="P40" s="608">
        <v>2.8899999999999999E-2</v>
      </c>
      <c r="Q40" s="608">
        <v>0.11559999999999999</v>
      </c>
      <c r="S40" s="200">
        <f t="shared" si="0"/>
        <v>0</v>
      </c>
      <c r="T40" s="200">
        <f t="shared" si="1"/>
        <v>0</v>
      </c>
    </row>
    <row r="41" spans="1:20" ht="15">
      <c r="A41" s="415">
        <v>35</v>
      </c>
      <c r="B41" s="415">
        <v>263</v>
      </c>
      <c r="C41" s="66" t="s">
        <v>2407</v>
      </c>
      <c r="D41" s="66" t="s">
        <v>223</v>
      </c>
      <c r="E41" s="413" t="s">
        <v>2037</v>
      </c>
      <c r="F41" s="594">
        <v>5.2999999999999999E-2</v>
      </c>
      <c r="G41" s="594">
        <v>0.1401</v>
      </c>
      <c r="H41" s="594">
        <v>0.12529999999999999</v>
      </c>
      <c r="J41" s="195"/>
      <c r="K41" s="232"/>
      <c r="M41" t="s">
        <v>224</v>
      </c>
      <c r="N41" t="s">
        <v>223</v>
      </c>
      <c r="O41" t="s">
        <v>1218</v>
      </c>
      <c r="P41" s="608">
        <v>5.2999999999999999E-2</v>
      </c>
      <c r="Q41" s="608">
        <v>0.1401</v>
      </c>
      <c r="S41" s="200">
        <f t="shared" si="0"/>
        <v>0</v>
      </c>
      <c r="T41" s="200">
        <f t="shared" si="1"/>
        <v>0</v>
      </c>
    </row>
    <row r="42" spans="1:20" ht="15">
      <c r="A42" s="415">
        <v>36</v>
      </c>
      <c r="B42" s="415">
        <v>211</v>
      </c>
      <c r="C42" s="66" t="s">
        <v>2407</v>
      </c>
      <c r="D42" s="66" t="s">
        <v>225</v>
      </c>
      <c r="E42" s="413" t="s">
        <v>2038</v>
      </c>
      <c r="F42" s="594">
        <v>2.9499999999999998E-2</v>
      </c>
      <c r="G42" s="594">
        <v>0.1542</v>
      </c>
      <c r="H42" s="594">
        <v>0.14899999999999999</v>
      </c>
      <c r="J42" s="195"/>
      <c r="K42" s="232"/>
      <c r="M42" t="s">
        <v>226</v>
      </c>
      <c r="N42" t="s">
        <v>225</v>
      </c>
      <c r="O42" t="s">
        <v>1206</v>
      </c>
      <c r="P42" s="608">
        <v>2.9499999999999998E-2</v>
      </c>
      <c r="Q42" s="608">
        <v>0.1542</v>
      </c>
      <c r="S42" s="200">
        <f t="shared" si="0"/>
        <v>0</v>
      </c>
      <c r="T42" s="200">
        <f t="shared" si="1"/>
        <v>0</v>
      </c>
    </row>
    <row r="43" spans="1:20" ht="15">
      <c r="A43" s="415">
        <v>37</v>
      </c>
      <c r="B43" s="415">
        <v>95</v>
      </c>
      <c r="C43" s="66" t="s">
        <v>2407</v>
      </c>
      <c r="D43" s="66" t="s">
        <v>227</v>
      </c>
      <c r="E43" s="413" t="s">
        <v>2039</v>
      </c>
      <c r="F43" s="594">
        <v>4.5999999999999999E-2</v>
      </c>
      <c r="G43" s="594">
        <v>0.15609999999999999</v>
      </c>
      <c r="H43" s="594">
        <v>0.12620000000000001</v>
      </c>
      <c r="J43" s="195"/>
      <c r="K43" s="232"/>
      <c r="M43" t="s">
        <v>228</v>
      </c>
      <c r="N43" t="s">
        <v>227</v>
      </c>
      <c r="O43" t="s">
        <v>1393</v>
      </c>
      <c r="P43" s="608">
        <v>4.5999999999999999E-2</v>
      </c>
      <c r="Q43" s="608">
        <v>0.15609999999999999</v>
      </c>
      <c r="S43" s="200">
        <f t="shared" si="0"/>
        <v>0</v>
      </c>
      <c r="T43" s="200">
        <f t="shared" si="1"/>
        <v>0</v>
      </c>
    </row>
    <row r="44" spans="1:20" ht="15">
      <c r="A44" s="415">
        <v>38</v>
      </c>
      <c r="B44" s="415">
        <v>6</v>
      </c>
      <c r="C44" s="66"/>
      <c r="D44" s="418" t="s">
        <v>1500</v>
      </c>
      <c r="E44" s="417" t="s">
        <v>1582</v>
      </c>
      <c r="F44" s="420">
        <v>0</v>
      </c>
      <c r="G44" s="420">
        <v>0</v>
      </c>
      <c r="H44" s="420">
        <v>0</v>
      </c>
      <c r="J44" s="195"/>
      <c r="K44" s="232"/>
      <c r="M44" t="s">
        <v>1582</v>
      </c>
      <c r="N44" t="s">
        <v>1500</v>
      </c>
      <c r="O44" t="s">
        <v>1501</v>
      </c>
      <c r="P44" s="608"/>
      <c r="Q44" s="608"/>
      <c r="S44" s="200">
        <f t="shared" si="0"/>
        <v>0</v>
      </c>
      <c r="T44" s="200">
        <f t="shared" si="1"/>
        <v>0</v>
      </c>
    </row>
    <row r="45" spans="1:20" ht="15">
      <c r="A45" s="415">
        <v>39</v>
      </c>
      <c r="B45" s="415">
        <v>139</v>
      </c>
      <c r="C45" s="66"/>
      <c r="D45" s="418" t="s">
        <v>761</v>
      </c>
      <c r="E45" s="417" t="s">
        <v>1585</v>
      </c>
      <c r="F45" s="420">
        <v>0</v>
      </c>
      <c r="G45" s="473">
        <v>0.11</v>
      </c>
      <c r="H45" s="420">
        <v>0</v>
      </c>
      <c r="J45" s="195"/>
      <c r="K45" s="232"/>
      <c r="M45" t="s">
        <v>1585</v>
      </c>
      <c r="N45" t="s">
        <v>761</v>
      </c>
      <c r="O45" t="s">
        <v>1650</v>
      </c>
      <c r="P45" s="608"/>
      <c r="Q45" s="608">
        <v>0.11</v>
      </c>
      <c r="S45" s="200">
        <f t="shared" si="0"/>
        <v>0</v>
      </c>
      <c r="T45" s="200">
        <f t="shared" si="1"/>
        <v>0</v>
      </c>
    </row>
    <row r="46" spans="1:20" ht="15">
      <c r="A46" s="415">
        <v>40</v>
      </c>
      <c r="B46" s="415">
        <v>204</v>
      </c>
      <c r="C46" s="66" t="s">
        <v>2428</v>
      </c>
      <c r="D46" s="66" t="s">
        <v>2307</v>
      </c>
      <c r="E46" s="413" t="s">
        <v>2429</v>
      </c>
      <c r="F46" s="595">
        <v>3.8699999999999998E-2</v>
      </c>
      <c r="G46" s="595">
        <v>0.1535</v>
      </c>
      <c r="H46" s="595">
        <v>0.1535</v>
      </c>
      <c r="J46" s="195"/>
      <c r="K46" s="232"/>
      <c r="M46" t="s">
        <v>2306</v>
      </c>
      <c r="N46" t="s">
        <v>2307</v>
      </c>
      <c r="O46" t="s">
        <v>2334</v>
      </c>
      <c r="P46" s="608">
        <v>3.8699999999999998E-2</v>
      </c>
      <c r="Q46" s="608">
        <v>0.1535</v>
      </c>
      <c r="S46" s="200">
        <f t="shared" si="0"/>
        <v>0</v>
      </c>
      <c r="T46" s="200">
        <f t="shared" si="1"/>
        <v>0</v>
      </c>
    </row>
    <row r="47" spans="1:20" ht="15">
      <c r="A47" s="415">
        <v>41</v>
      </c>
      <c r="B47" s="415">
        <v>305</v>
      </c>
      <c r="C47" s="66" t="s">
        <v>2403</v>
      </c>
      <c r="D47" s="66" t="s">
        <v>229</v>
      </c>
      <c r="E47" s="413" t="s">
        <v>2040</v>
      </c>
      <c r="F47" s="594">
        <v>3.5200000000000002E-2</v>
      </c>
      <c r="G47" s="594">
        <v>0.2283</v>
      </c>
      <c r="H47" s="594">
        <v>0.21609999999999999</v>
      </c>
      <c r="J47" s="195"/>
      <c r="K47" s="232"/>
      <c r="M47" t="s">
        <v>230</v>
      </c>
      <c r="N47" t="s">
        <v>229</v>
      </c>
      <c r="O47" t="s">
        <v>1251</v>
      </c>
      <c r="P47" s="608">
        <v>3.5200000000000002E-2</v>
      </c>
      <c r="Q47" s="608">
        <v>0.2283</v>
      </c>
      <c r="S47" s="200">
        <f t="shared" si="0"/>
        <v>0</v>
      </c>
      <c r="T47" s="200">
        <f t="shared" si="1"/>
        <v>0</v>
      </c>
    </row>
    <row r="48" spans="1:20" ht="15">
      <c r="A48" s="415">
        <v>42</v>
      </c>
      <c r="B48" s="415">
        <v>287</v>
      </c>
      <c r="C48" s="66" t="s">
        <v>2403</v>
      </c>
      <c r="D48" s="66" t="s">
        <v>231</v>
      </c>
      <c r="E48" s="413" t="s">
        <v>2041</v>
      </c>
      <c r="F48" s="594">
        <v>7.4300000000000005E-2</v>
      </c>
      <c r="G48" s="594">
        <v>5.7700000000000001E-2</v>
      </c>
      <c r="H48" s="594">
        <v>0.3392</v>
      </c>
      <c r="J48" s="195"/>
      <c r="K48" s="232"/>
      <c r="M48" t="s">
        <v>232</v>
      </c>
      <c r="N48" t="s">
        <v>231</v>
      </c>
      <c r="O48" t="s">
        <v>1420</v>
      </c>
      <c r="P48" s="608">
        <v>7.4300000000000005E-2</v>
      </c>
      <c r="Q48" s="608">
        <v>5.7700000000000001E-2</v>
      </c>
      <c r="S48" s="200">
        <f t="shared" si="0"/>
        <v>0</v>
      </c>
      <c r="T48" s="200">
        <f t="shared" si="1"/>
        <v>0</v>
      </c>
    </row>
    <row r="49" spans="1:20" ht="15">
      <c r="A49" s="415">
        <v>43</v>
      </c>
      <c r="B49" s="415">
        <v>309</v>
      </c>
      <c r="C49" s="66" t="s">
        <v>2407</v>
      </c>
      <c r="D49" s="66" t="s">
        <v>233</v>
      </c>
      <c r="E49" s="413" t="s">
        <v>2042</v>
      </c>
      <c r="F49" s="594">
        <v>4.8599999999999997E-2</v>
      </c>
      <c r="G49" s="594">
        <v>0.16520000000000001</v>
      </c>
      <c r="H49" s="594">
        <v>0.18429999999999999</v>
      </c>
      <c r="J49" s="195"/>
      <c r="K49" s="232"/>
      <c r="M49" t="s">
        <v>234</v>
      </c>
      <c r="N49" t="s">
        <v>233</v>
      </c>
      <c r="O49" t="s">
        <v>1310</v>
      </c>
      <c r="P49" s="608">
        <v>4.8599999999999997E-2</v>
      </c>
      <c r="Q49" s="608">
        <v>0.16520000000000001</v>
      </c>
      <c r="S49" s="200">
        <f t="shared" si="0"/>
        <v>0</v>
      </c>
      <c r="T49" s="200">
        <f t="shared" si="1"/>
        <v>0</v>
      </c>
    </row>
    <row r="50" spans="1:20" ht="15">
      <c r="A50" s="415">
        <v>44</v>
      </c>
      <c r="B50" s="415">
        <v>270</v>
      </c>
      <c r="C50" s="66" t="s">
        <v>2407</v>
      </c>
      <c r="D50" s="66" t="s">
        <v>235</v>
      </c>
      <c r="E50" s="413" t="s">
        <v>2311</v>
      </c>
      <c r="F50" s="594">
        <v>1.9599999999999999E-2</v>
      </c>
      <c r="G50" s="594">
        <v>0.1759</v>
      </c>
      <c r="H50" s="594">
        <v>0.1807</v>
      </c>
      <c r="J50" s="195"/>
      <c r="K50" s="232"/>
      <c r="M50" t="s">
        <v>236</v>
      </c>
      <c r="N50" t="s">
        <v>235</v>
      </c>
      <c r="O50" t="s">
        <v>1441</v>
      </c>
      <c r="P50" s="608">
        <v>1.9599999999999999E-2</v>
      </c>
      <c r="Q50" s="608">
        <v>0.1759</v>
      </c>
      <c r="S50" s="200">
        <f t="shared" si="0"/>
        <v>0</v>
      </c>
      <c r="T50" s="200">
        <f t="shared" si="1"/>
        <v>0</v>
      </c>
    </row>
    <row r="51" spans="1:20" ht="15">
      <c r="A51" s="415">
        <v>45</v>
      </c>
      <c r="B51" s="415">
        <v>289</v>
      </c>
      <c r="C51" s="66" t="s">
        <v>2407</v>
      </c>
      <c r="D51" s="66" t="s">
        <v>237</v>
      </c>
      <c r="E51" s="413" t="s">
        <v>2043</v>
      </c>
      <c r="F51" s="594">
        <v>3.8100000000000002E-2</v>
      </c>
      <c r="G51" s="594">
        <v>0.17949999999999999</v>
      </c>
      <c r="H51" s="594">
        <v>0.1648</v>
      </c>
      <c r="J51" s="195"/>
      <c r="K51" s="232"/>
      <c r="M51" t="s">
        <v>238</v>
      </c>
      <c r="N51" t="s">
        <v>237</v>
      </c>
      <c r="O51" t="s">
        <v>1223</v>
      </c>
      <c r="P51" s="608">
        <v>3.8100000000000002E-2</v>
      </c>
      <c r="Q51" s="608">
        <v>0.17949999999999999</v>
      </c>
      <c r="S51" s="200">
        <f t="shared" si="0"/>
        <v>0</v>
      </c>
      <c r="T51" s="200">
        <f t="shared" si="1"/>
        <v>0</v>
      </c>
    </row>
    <row r="52" spans="1:20" ht="15">
      <c r="A52" s="415">
        <v>46</v>
      </c>
      <c r="B52" s="415">
        <v>266</v>
      </c>
      <c r="C52" s="66" t="s">
        <v>2407</v>
      </c>
      <c r="D52" s="66" t="s">
        <v>239</v>
      </c>
      <c r="E52" s="413" t="s">
        <v>2044</v>
      </c>
      <c r="F52" s="594">
        <v>5.5500000000000001E-2</v>
      </c>
      <c r="G52" s="594">
        <v>0.20150000000000001</v>
      </c>
      <c r="H52" s="594">
        <v>0.18590000000000001</v>
      </c>
      <c r="J52" s="195"/>
      <c r="K52" s="232"/>
      <c r="M52" t="s">
        <v>240</v>
      </c>
      <c r="N52" t="s">
        <v>239</v>
      </c>
      <c r="O52" t="s">
        <v>1294</v>
      </c>
      <c r="P52" s="608">
        <v>5.5500000000000001E-2</v>
      </c>
      <c r="Q52" s="608">
        <v>0.20150000000000001</v>
      </c>
      <c r="S52" s="200">
        <f t="shared" si="0"/>
        <v>0</v>
      </c>
      <c r="T52" s="200">
        <f t="shared" si="1"/>
        <v>0</v>
      </c>
    </row>
    <row r="53" spans="1:20" ht="15">
      <c r="A53" s="415">
        <v>47</v>
      </c>
      <c r="B53" s="415">
        <v>218</v>
      </c>
      <c r="C53" s="66" t="s">
        <v>2407</v>
      </c>
      <c r="D53" s="66" t="s">
        <v>241</v>
      </c>
      <c r="E53" s="413" t="s">
        <v>2045</v>
      </c>
      <c r="F53" s="594">
        <v>2.12E-2</v>
      </c>
      <c r="G53" s="594">
        <v>0.13489999999999999</v>
      </c>
      <c r="H53" s="594">
        <v>0.12770000000000001</v>
      </c>
      <c r="J53" s="195"/>
      <c r="K53" s="232"/>
      <c r="M53" t="s">
        <v>242</v>
      </c>
      <c r="N53" t="s">
        <v>241</v>
      </c>
      <c r="O53" t="s">
        <v>1468</v>
      </c>
      <c r="P53" s="608">
        <v>2.12E-2</v>
      </c>
      <c r="Q53" s="608">
        <v>0.13489999999999999</v>
      </c>
      <c r="S53" s="200">
        <f t="shared" si="0"/>
        <v>0</v>
      </c>
      <c r="T53" s="200">
        <f t="shared" si="1"/>
        <v>0</v>
      </c>
    </row>
    <row r="54" spans="1:20" ht="15">
      <c r="A54" s="415">
        <v>48</v>
      </c>
      <c r="B54" s="415">
        <v>223</v>
      </c>
      <c r="C54" s="66" t="s">
        <v>2407</v>
      </c>
      <c r="D54" s="66" t="s">
        <v>243</v>
      </c>
      <c r="E54" s="413" t="s">
        <v>2046</v>
      </c>
      <c r="F54" s="594">
        <v>3.9699999999999999E-2</v>
      </c>
      <c r="G54" s="594">
        <v>0.16489999999999999</v>
      </c>
      <c r="H54" s="594">
        <v>0.13869999999999999</v>
      </c>
      <c r="J54" s="195"/>
      <c r="K54" s="232"/>
      <c r="M54" t="s">
        <v>244</v>
      </c>
      <c r="N54" t="s">
        <v>243</v>
      </c>
      <c r="O54" t="s">
        <v>1296</v>
      </c>
      <c r="P54" s="608">
        <v>3.9699999999999999E-2</v>
      </c>
      <c r="Q54" s="608">
        <v>0.16489999999999999</v>
      </c>
      <c r="S54" s="200">
        <f t="shared" si="0"/>
        <v>0</v>
      </c>
      <c r="T54" s="200">
        <f t="shared" si="1"/>
        <v>0</v>
      </c>
    </row>
    <row r="55" spans="1:20" ht="15">
      <c r="A55" s="415">
        <v>49</v>
      </c>
      <c r="B55" s="415">
        <v>84</v>
      </c>
      <c r="C55" s="66" t="s">
        <v>2404</v>
      </c>
      <c r="D55" s="66" t="s">
        <v>245</v>
      </c>
      <c r="E55" s="413" t="s">
        <v>2047</v>
      </c>
      <c r="F55" s="594">
        <v>0.10290000000000001</v>
      </c>
      <c r="G55" s="594">
        <v>0.23569999999999999</v>
      </c>
      <c r="H55" s="594">
        <v>0.2203</v>
      </c>
      <c r="J55" s="195"/>
      <c r="K55" s="232"/>
      <c r="M55" t="s">
        <v>246</v>
      </c>
      <c r="N55" t="s">
        <v>245</v>
      </c>
      <c r="O55" t="s">
        <v>1362</v>
      </c>
      <c r="P55" s="608">
        <v>0.10290000000000001</v>
      </c>
      <c r="Q55" s="608">
        <v>0.23569999999999999</v>
      </c>
      <c r="S55" s="200">
        <f t="shared" si="0"/>
        <v>0</v>
      </c>
      <c r="T55" s="200">
        <f t="shared" si="1"/>
        <v>0</v>
      </c>
    </row>
    <row r="56" spans="1:20" ht="15">
      <c r="A56" s="415">
        <v>50</v>
      </c>
      <c r="B56" s="415">
        <v>69</v>
      </c>
      <c r="C56" s="66" t="s">
        <v>2404</v>
      </c>
      <c r="D56" s="66" t="s">
        <v>247</v>
      </c>
      <c r="E56" s="413" t="s">
        <v>2048</v>
      </c>
      <c r="F56" s="594">
        <v>4.4299999999999999E-2</v>
      </c>
      <c r="G56" s="594">
        <v>0.20280000000000001</v>
      </c>
      <c r="H56" s="594">
        <v>0.2331</v>
      </c>
      <c r="J56" s="195"/>
      <c r="K56" s="232"/>
      <c r="M56" t="s">
        <v>248</v>
      </c>
      <c r="N56" t="s">
        <v>247</v>
      </c>
      <c r="O56" t="s">
        <v>1216</v>
      </c>
      <c r="P56" s="608">
        <v>4.4299999999999999E-2</v>
      </c>
      <c r="Q56" s="608">
        <v>0.20280000000000001</v>
      </c>
      <c r="S56" s="200">
        <f t="shared" si="0"/>
        <v>0</v>
      </c>
      <c r="T56" s="200">
        <f t="shared" si="1"/>
        <v>0</v>
      </c>
    </row>
    <row r="57" spans="1:20" ht="15">
      <c r="A57" s="415">
        <v>51</v>
      </c>
      <c r="B57" s="415">
        <v>90</v>
      </c>
      <c r="C57" s="66" t="s">
        <v>2404</v>
      </c>
      <c r="D57" s="66" t="s">
        <v>249</v>
      </c>
      <c r="E57" s="413" t="s">
        <v>2049</v>
      </c>
      <c r="F57" s="594">
        <v>0.2049</v>
      </c>
      <c r="G57" s="594">
        <v>0.55010000000000003</v>
      </c>
      <c r="H57" s="594">
        <v>0.37280000000000002</v>
      </c>
      <c r="J57" s="195"/>
      <c r="K57" s="232"/>
      <c r="M57" t="s">
        <v>250</v>
      </c>
      <c r="N57" t="s">
        <v>249</v>
      </c>
      <c r="O57" t="s">
        <v>1366</v>
      </c>
      <c r="P57" s="608">
        <v>0.2049</v>
      </c>
      <c r="Q57" s="608">
        <v>0.55010000000000003</v>
      </c>
      <c r="S57" s="200">
        <f t="shared" si="0"/>
        <v>0</v>
      </c>
      <c r="T57" s="200">
        <f t="shared" si="1"/>
        <v>0</v>
      </c>
    </row>
    <row r="58" spans="1:20" ht="15">
      <c r="A58" s="415">
        <v>52</v>
      </c>
      <c r="B58" s="415">
        <v>24</v>
      </c>
      <c r="C58" s="66" t="s">
        <v>2404</v>
      </c>
      <c r="D58" s="66" t="s">
        <v>251</v>
      </c>
      <c r="E58" s="413" t="s">
        <v>2050</v>
      </c>
      <c r="F58" s="594">
        <v>3.0200000000000001E-2</v>
      </c>
      <c r="G58" s="594">
        <v>0.1507</v>
      </c>
      <c r="H58" s="594">
        <v>0.1419</v>
      </c>
      <c r="J58" s="195"/>
      <c r="K58" s="232"/>
      <c r="M58" t="s">
        <v>252</v>
      </c>
      <c r="N58" t="s">
        <v>251</v>
      </c>
      <c r="O58" t="s">
        <v>1255</v>
      </c>
      <c r="P58" s="608">
        <v>3.0200000000000001E-2</v>
      </c>
      <c r="Q58" s="608">
        <v>0.1507</v>
      </c>
      <c r="S58" s="200">
        <f t="shared" si="0"/>
        <v>0</v>
      </c>
      <c r="T58" s="200">
        <f t="shared" si="1"/>
        <v>0</v>
      </c>
    </row>
    <row r="59" spans="1:20" ht="15">
      <c r="A59" s="415">
        <v>53</v>
      </c>
      <c r="B59" s="415">
        <v>166</v>
      </c>
      <c r="C59" s="66" t="s">
        <v>2404</v>
      </c>
      <c r="D59" s="66" t="s">
        <v>253</v>
      </c>
      <c r="E59" s="413" t="s">
        <v>2051</v>
      </c>
      <c r="F59" s="594">
        <v>3.73E-2</v>
      </c>
      <c r="G59" s="594">
        <v>0.38450000000000001</v>
      </c>
      <c r="H59" s="594">
        <v>0.24829999999999999</v>
      </c>
      <c r="J59" s="195"/>
      <c r="K59" s="232"/>
      <c r="M59" t="s">
        <v>254</v>
      </c>
      <c r="N59" t="s">
        <v>253</v>
      </c>
      <c r="O59" t="s">
        <v>1316</v>
      </c>
      <c r="P59" s="608">
        <v>3.73E-2</v>
      </c>
      <c r="Q59" s="608">
        <v>0.38450000000000001</v>
      </c>
      <c r="S59" s="200">
        <f t="shared" si="0"/>
        <v>0</v>
      </c>
      <c r="T59" s="200">
        <f t="shared" si="1"/>
        <v>0</v>
      </c>
    </row>
    <row r="60" spans="1:20" ht="15">
      <c r="A60" s="415">
        <v>54</v>
      </c>
      <c r="B60" s="415">
        <v>56</v>
      </c>
      <c r="C60" s="66" t="s">
        <v>2404</v>
      </c>
      <c r="D60" s="66" t="s">
        <v>255</v>
      </c>
      <c r="E60" s="413" t="s">
        <v>2052</v>
      </c>
      <c r="F60" s="594">
        <v>7.5300000000000006E-2</v>
      </c>
      <c r="G60" s="594">
        <v>0.25069999999999998</v>
      </c>
      <c r="H60" s="594">
        <v>0.2429</v>
      </c>
      <c r="J60" s="195"/>
      <c r="K60" s="232"/>
      <c r="M60" t="s">
        <v>256</v>
      </c>
      <c r="N60" t="s">
        <v>255</v>
      </c>
      <c r="O60" t="s">
        <v>1457</v>
      </c>
      <c r="P60" s="608">
        <v>7.5300000000000006E-2</v>
      </c>
      <c r="Q60" s="608">
        <v>0.25069999999999998</v>
      </c>
      <c r="S60" s="200">
        <f t="shared" si="0"/>
        <v>0</v>
      </c>
      <c r="T60" s="200">
        <f t="shared" si="1"/>
        <v>0</v>
      </c>
    </row>
    <row r="61" spans="1:20" ht="15">
      <c r="A61" s="415">
        <v>55</v>
      </c>
      <c r="B61" s="415">
        <v>194</v>
      </c>
      <c r="C61" s="66" t="s">
        <v>2402</v>
      </c>
      <c r="D61" s="66" t="s">
        <v>257</v>
      </c>
      <c r="E61" s="413" t="s">
        <v>2053</v>
      </c>
      <c r="F61" s="594">
        <v>7.3800000000000004E-2</v>
      </c>
      <c r="G61" s="594">
        <v>0.4264</v>
      </c>
      <c r="H61" s="594">
        <v>0.30880000000000002</v>
      </c>
      <c r="J61" s="195"/>
      <c r="K61" s="232"/>
      <c r="M61" t="s">
        <v>258</v>
      </c>
      <c r="N61" t="s">
        <v>257</v>
      </c>
      <c r="O61" t="s">
        <v>1295</v>
      </c>
      <c r="P61" s="608">
        <v>7.3800000000000004E-2</v>
      </c>
      <c r="Q61" s="608">
        <v>0.4264</v>
      </c>
      <c r="S61" s="200">
        <f t="shared" si="0"/>
        <v>0</v>
      </c>
      <c r="T61" s="200">
        <f t="shared" si="1"/>
        <v>0</v>
      </c>
    </row>
    <row r="62" spans="1:20" ht="15">
      <c r="A62" s="415">
        <v>56</v>
      </c>
      <c r="B62" s="415">
        <v>134</v>
      </c>
      <c r="C62" s="66" t="s">
        <v>2402</v>
      </c>
      <c r="D62" s="66" t="s">
        <v>259</v>
      </c>
      <c r="E62" s="413" t="s">
        <v>2054</v>
      </c>
      <c r="F62" s="594">
        <v>2.7E-2</v>
      </c>
      <c r="G62" s="594">
        <v>0.33939999999999998</v>
      </c>
      <c r="H62" s="594">
        <v>0.28289999999999998</v>
      </c>
      <c r="J62" s="195"/>
      <c r="K62" s="232"/>
      <c r="M62" t="s">
        <v>260</v>
      </c>
      <c r="N62" t="s">
        <v>259</v>
      </c>
      <c r="O62" t="s">
        <v>1246</v>
      </c>
      <c r="P62" s="608">
        <v>2.7E-2</v>
      </c>
      <c r="Q62" s="608">
        <v>0.33939999999999998</v>
      </c>
      <c r="S62" s="200">
        <f t="shared" si="0"/>
        <v>0</v>
      </c>
      <c r="T62" s="200">
        <f t="shared" si="1"/>
        <v>0</v>
      </c>
    </row>
    <row r="63" spans="1:20" ht="15">
      <c r="A63" s="415">
        <v>57</v>
      </c>
      <c r="B63" s="415">
        <v>241</v>
      </c>
      <c r="C63" s="66" t="s">
        <v>2402</v>
      </c>
      <c r="D63" s="66" t="s">
        <v>261</v>
      </c>
      <c r="E63" s="413" t="s">
        <v>2055</v>
      </c>
      <c r="F63" s="594">
        <v>7.2700000000000001E-2</v>
      </c>
      <c r="G63" s="594">
        <v>0.25640000000000002</v>
      </c>
      <c r="H63" s="594">
        <v>0.29599999999999999</v>
      </c>
      <c r="J63" s="195"/>
      <c r="K63" s="232"/>
      <c r="M63" t="s">
        <v>262</v>
      </c>
      <c r="N63" t="s">
        <v>261</v>
      </c>
      <c r="O63" t="s">
        <v>1361</v>
      </c>
      <c r="P63" s="608">
        <v>7.2700000000000001E-2</v>
      </c>
      <c r="Q63" s="608">
        <v>0.25640000000000002</v>
      </c>
      <c r="S63" s="200">
        <f t="shared" si="0"/>
        <v>0</v>
      </c>
      <c r="T63" s="200">
        <f t="shared" si="1"/>
        <v>0</v>
      </c>
    </row>
    <row r="64" spans="1:20" ht="15">
      <c r="A64" s="415">
        <v>58</v>
      </c>
      <c r="B64" s="415">
        <v>170</v>
      </c>
      <c r="C64" s="66" t="s">
        <v>2402</v>
      </c>
      <c r="D64" s="66" t="s">
        <v>263</v>
      </c>
      <c r="E64" s="413" t="s">
        <v>2056</v>
      </c>
      <c r="F64" s="594">
        <v>6.0199999999999997E-2</v>
      </c>
      <c r="G64" s="594">
        <v>0.32500000000000001</v>
      </c>
      <c r="H64" s="594">
        <v>0.23480000000000001</v>
      </c>
      <c r="J64" s="195"/>
      <c r="K64" s="232"/>
      <c r="M64" t="s">
        <v>264</v>
      </c>
      <c r="N64" t="s">
        <v>263</v>
      </c>
      <c r="O64" t="s">
        <v>1290</v>
      </c>
      <c r="P64" s="608">
        <v>6.0199999999999997E-2</v>
      </c>
      <c r="Q64" s="608">
        <v>0.32500000000000001</v>
      </c>
      <c r="S64" s="200">
        <f t="shared" si="0"/>
        <v>0</v>
      </c>
      <c r="T64" s="200">
        <f t="shared" si="1"/>
        <v>0</v>
      </c>
    </row>
    <row r="65" spans="1:20" ht="15">
      <c r="A65" s="415">
        <v>59</v>
      </c>
      <c r="B65" s="415">
        <v>41</v>
      </c>
      <c r="C65" s="66" t="s">
        <v>2402</v>
      </c>
      <c r="D65" s="66" t="s">
        <v>265</v>
      </c>
      <c r="E65" s="413" t="s">
        <v>2057</v>
      </c>
      <c r="F65" s="594">
        <v>5.1799999999999999E-2</v>
      </c>
      <c r="G65" s="594">
        <v>0.19589999999999999</v>
      </c>
      <c r="H65" s="594">
        <v>0.21299999999999999</v>
      </c>
      <c r="J65" s="195"/>
      <c r="K65" s="232"/>
      <c r="M65" t="s">
        <v>266</v>
      </c>
      <c r="N65" t="s">
        <v>265</v>
      </c>
      <c r="O65" t="s">
        <v>1391</v>
      </c>
      <c r="P65" s="608">
        <v>5.1799999999999999E-2</v>
      </c>
      <c r="Q65" s="608">
        <v>0.19589999999999999</v>
      </c>
      <c r="S65" s="200">
        <f t="shared" si="0"/>
        <v>0</v>
      </c>
      <c r="T65" s="200">
        <f t="shared" si="1"/>
        <v>0</v>
      </c>
    </row>
    <row r="66" spans="1:20" ht="15">
      <c r="A66" s="415">
        <v>60</v>
      </c>
      <c r="B66" s="415">
        <v>256</v>
      </c>
      <c r="C66" s="66" t="s">
        <v>2403</v>
      </c>
      <c r="D66" s="66" t="s">
        <v>267</v>
      </c>
      <c r="E66" s="413" t="s">
        <v>2058</v>
      </c>
      <c r="F66" s="594">
        <v>2.9100000000000001E-2</v>
      </c>
      <c r="G66" s="594">
        <v>0.1198</v>
      </c>
      <c r="H66" s="594">
        <v>0.1263</v>
      </c>
      <c r="J66" s="195"/>
      <c r="K66" s="232"/>
      <c r="M66" t="s">
        <v>268</v>
      </c>
      <c r="N66" t="s">
        <v>267</v>
      </c>
      <c r="O66" t="s">
        <v>1368</v>
      </c>
      <c r="P66" s="608">
        <v>2.9100000000000001E-2</v>
      </c>
      <c r="Q66" s="608">
        <v>0.1198</v>
      </c>
      <c r="S66" s="200">
        <f t="shared" si="0"/>
        <v>0</v>
      </c>
      <c r="T66" s="200">
        <f t="shared" si="1"/>
        <v>0</v>
      </c>
    </row>
    <row r="67" spans="1:20" ht="15">
      <c r="A67" s="415">
        <v>61</v>
      </c>
      <c r="B67" s="415">
        <v>202</v>
      </c>
      <c r="C67" s="66" t="s">
        <v>2403</v>
      </c>
      <c r="D67" s="66" t="s">
        <v>269</v>
      </c>
      <c r="E67" s="413" t="s">
        <v>2059</v>
      </c>
      <c r="F67" s="594">
        <v>2.3E-2</v>
      </c>
      <c r="G67" s="594">
        <v>0.1603</v>
      </c>
      <c r="H67" s="594">
        <v>0.16830000000000001</v>
      </c>
      <c r="J67" s="195"/>
      <c r="K67" s="232"/>
      <c r="M67" t="s">
        <v>270</v>
      </c>
      <c r="N67" t="s">
        <v>269</v>
      </c>
      <c r="O67" t="s">
        <v>1343</v>
      </c>
      <c r="P67" s="608">
        <v>2.3E-2</v>
      </c>
      <c r="Q67" s="608">
        <v>0.1603</v>
      </c>
      <c r="S67" s="200">
        <f t="shared" si="0"/>
        <v>0</v>
      </c>
      <c r="T67" s="200">
        <f t="shared" si="1"/>
        <v>0</v>
      </c>
    </row>
    <row r="68" spans="1:20" ht="15">
      <c r="A68" s="415">
        <v>62</v>
      </c>
      <c r="B68" s="415">
        <v>285</v>
      </c>
      <c r="C68" s="66" t="s">
        <v>2403</v>
      </c>
      <c r="D68" s="66" t="s">
        <v>271</v>
      </c>
      <c r="E68" s="413" t="s">
        <v>2312</v>
      </c>
      <c r="F68" s="594">
        <v>5.21E-2</v>
      </c>
      <c r="G68" s="594">
        <v>0.29580000000000001</v>
      </c>
      <c r="H68" s="594">
        <v>0.35099999999999998</v>
      </c>
      <c r="J68" s="195"/>
      <c r="K68" s="232"/>
      <c r="M68" t="s">
        <v>272</v>
      </c>
      <c r="N68" t="s">
        <v>271</v>
      </c>
      <c r="O68" t="s">
        <v>2480</v>
      </c>
      <c r="P68" s="608">
        <v>5.21E-2</v>
      </c>
      <c r="Q68" s="608">
        <v>0.29580000000000001</v>
      </c>
      <c r="S68" s="200">
        <f t="shared" si="0"/>
        <v>0</v>
      </c>
      <c r="T68" s="200">
        <f t="shared" si="1"/>
        <v>0</v>
      </c>
    </row>
    <row r="69" spans="1:20" ht="15">
      <c r="A69" s="415">
        <v>63</v>
      </c>
      <c r="B69" s="415">
        <v>253</v>
      </c>
      <c r="C69" s="66" t="s">
        <v>2403</v>
      </c>
      <c r="D69" s="66" t="s">
        <v>273</v>
      </c>
      <c r="E69" s="413" t="s">
        <v>2060</v>
      </c>
      <c r="F69" s="594">
        <v>6.3200000000000006E-2</v>
      </c>
      <c r="G69" s="594">
        <v>0.40210000000000001</v>
      </c>
      <c r="H69" s="594">
        <v>0.43340000000000001</v>
      </c>
      <c r="J69" s="195"/>
      <c r="K69" s="232"/>
      <c r="M69" t="s">
        <v>274</v>
      </c>
      <c r="N69" t="s">
        <v>273</v>
      </c>
      <c r="O69" t="s">
        <v>1293</v>
      </c>
      <c r="P69" s="608">
        <v>6.3200000000000006E-2</v>
      </c>
      <c r="Q69" s="608">
        <v>0.40210000000000001</v>
      </c>
      <c r="S69" s="200">
        <f t="shared" si="0"/>
        <v>0</v>
      </c>
      <c r="T69" s="200">
        <f t="shared" si="1"/>
        <v>0</v>
      </c>
    </row>
    <row r="70" spans="1:20" ht="15">
      <c r="A70" s="415">
        <v>64</v>
      </c>
      <c r="B70" s="415">
        <v>317</v>
      </c>
      <c r="C70" s="66"/>
      <c r="D70" s="418" t="s">
        <v>762</v>
      </c>
      <c r="E70" s="417" t="s">
        <v>1587</v>
      </c>
      <c r="F70" s="420">
        <v>0</v>
      </c>
      <c r="G70" s="473">
        <v>0.11</v>
      </c>
      <c r="H70" s="420">
        <v>0</v>
      </c>
      <c r="J70" s="195"/>
      <c r="K70" s="232"/>
      <c r="M70" t="s">
        <v>1587</v>
      </c>
      <c r="N70" t="s">
        <v>762</v>
      </c>
      <c r="O70" t="s">
        <v>1651</v>
      </c>
      <c r="P70" s="608"/>
      <c r="Q70" s="608">
        <v>0.11</v>
      </c>
      <c r="S70" s="200">
        <f t="shared" si="0"/>
        <v>0</v>
      </c>
      <c r="T70" s="200">
        <f t="shared" si="1"/>
        <v>0</v>
      </c>
    </row>
    <row r="71" spans="1:20" ht="15">
      <c r="A71" s="415">
        <v>65</v>
      </c>
      <c r="B71" s="415">
        <v>52</v>
      </c>
      <c r="C71" s="66" t="s">
        <v>2403</v>
      </c>
      <c r="D71" s="66" t="s">
        <v>275</v>
      </c>
      <c r="E71" s="413" t="s">
        <v>2061</v>
      </c>
      <c r="F71" s="594">
        <v>6.25E-2</v>
      </c>
      <c r="G71" s="594">
        <v>0.26500000000000001</v>
      </c>
      <c r="H71" s="594">
        <v>0.27150000000000002</v>
      </c>
      <c r="J71" s="195"/>
      <c r="K71" s="232"/>
      <c r="M71" t="s">
        <v>276</v>
      </c>
      <c r="N71" t="s">
        <v>275</v>
      </c>
      <c r="O71" t="s">
        <v>1374</v>
      </c>
      <c r="P71" s="608">
        <v>6.25E-2</v>
      </c>
      <c r="Q71" s="608">
        <v>0.26500000000000001</v>
      </c>
      <c r="S71" s="200">
        <f t="shared" ref="S71:S134" si="2">+F71-P71</f>
        <v>0</v>
      </c>
      <c r="T71" s="200">
        <f t="shared" ref="T71:T134" si="3">+G71-Q71</f>
        <v>0</v>
      </c>
    </row>
    <row r="72" spans="1:20" ht="15">
      <c r="A72" s="415">
        <v>66</v>
      </c>
      <c r="B72" s="415">
        <v>135</v>
      </c>
      <c r="C72" s="66" t="s">
        <v>2408</v>
      </c>
      <c r="D72" s="66" t="s">
        <v>277</v>
      </c>
      <c r="E72" s="413" t="s">
        <v>2062</v>
      </c>
      <c r="F72" s="594">
        <v>4.8300000000000003E-2</v>
      </c>
      <c r="G72" s="594">
        <v>0.15240000000000001</v>
      </c>
      <c r="H72" s="594">
        <v>0.1555</v>
      </c>
      <c r="J72" s="195"/>
      <c r="K72" s="232"/>
      <c r="M72" t="s">
        <v>278</v>
      </c>
      <c r="N72" t="s">
        <v>277</v>
      </c>
      <c r="O72" t="s">
        <v>1451</v>
      </c>
      <c r="P72" s="608">
        <v>4.8300000000000003E-2</v>
      </c>
      <c r="Q72" s="608">
        <v>0.15240000000000001</v>
      </c>
      <c r="S72" s="200">
        <f t="shared" si="2"/>
        <v>0</v>
      </c>
      <c r="T72" s="200">
        <f t="shared" si="3"/>
        <v>0</v>
      </c>
    </row>
    <row r="73" spans="1:20" ht="15">
      <c r="A73" s="415">
        <v>67</v>
      </c>
      <c r="B73" s="415">
        <v>208</v>
      </c>
      <c r="C73" s="66" t="s">
        <v>2404</v>
      </c>
      <c r="D73" s="66" t="s">
        <v>279</v>
      </c>
      <c r="E73" s="413" t="s">
        <v>2063</v>
      </c>
      <c r="F73" s="594">
        <v>5.5E-2</v>
      </c>
      <c r="G73" s="594">
        <v>0.1653</v>
      </c>
      <c r="H73" s="594">
        <v>0.17829999999999999</v>
      </c>
      <c r="J73" s="195"/>
      <c r="K73" s="232"/>
      <c r="M73" t="s">
        <v>280</v>
      </c>
      <c r="N73" t="s">
        <v>279</v>
      </c>
      <c r="O73" t="s">
        <v>1385</v>
      </c>
      <c r="P73" s="608">
        <v>5.5E-2</v>
      </c>
      <c r="Q73" s="608">
        <v>0.1653</v>
      </c>
      <c r="S73" s="200">
        <f t="shared" si="2"/>
        <v>0</v>
      </c>
      <c r="T73" s="200">
        <f t="shared" si="3"/>
        <v>0</v>
      </c>
    </row>
    <row r="74" spans="1:20" ht="15">
      <c r="A74" s="415">
        <v>68</v>
      </c>
      <c r="B74" s="415">
        <v>233</v>
      </c>
      <c r="C74" s="66" t="s">
        <v>2404</v>
      </c>
      <c r="D74" s="66" t="s">
        <v>281</v>
      </c>
      <c r="E74" s="413" t="s">
        <v>2064</v>
      </c>
      <c r="F74" s="594">
        <v>4.41E-2</v>
      </c>
      <c r="G74" s="594">
        <v>0.18290000000000001</v>
      </c>
      <c r="H74" s="594">
        <v>0.21079999999999999</v>
      </c>
      <c r="J74" s="195"/>
      <c r="K74" s="232"/>
      <c r="M74" t="s">
        <v>282</v>
      </c>
      <c r="N74" t="s">
        <v>281</v>
      </c>
      <c r="O74" t="s">
        <v>1454</v>
      </c>
      <c r="P74" s="608">
        <v>4.41E-2</v>
      </c>
      <c r="Q74" s="608">
        <v>0.18290000000000001</v>
      </c>
      <c r="S74" s="200">
        <f t="shared" si="2"/>
        <v>0</v>
      </c>
      <c r="T74" s="200">
        <f t="shared" si="3"/>
        <v>0</v>
      </c>
    </row>
    <row r="75" spans="1:20" ht="15">
      <c r="A75" s="415">
        <v>69</v>
      </c>
      <c r="B75" s="415">
        <v>137</v>
      </c>
      <c r="C75" s="66" t="s">
        <v>2404</v>
      </c>
      <c r="D75" s="66" t="s">
        <v>283</v>
      </c>
      <c r="E75" s="413" t="s">
        <v>2065</v>
      </c>
      <c r="F75" s="594">
        <v>3.3099999999999997E-2</v>
      </c>
      <c r="G75" s="594">
        <v>0.22450000000000001</v>
      </c>
      <c r="H75" s="594">
        <v>0.22539999999999999</v>
      </c>
      <c r="J75" s="195"/>
      <c r="K75" s="232"/>
      <c r="M75" t="s">
        <v>1581</v>
      </c>
      <c r="N75" t="s">
        <v>283</v>
      </c>
      <c r="O75" t="s">
        <v>2444</v>
      </c>
      <c r="P75" s="608">
        <v>3.3099999999999997E-2</v>
      </c>
      <c r="Q75" s="608">
        <v>0.22450000000000001</v>
      </c>
      <c r="S75" s="200">
        <f t="shared" si="2"/>
        <v>0</v>
      </c>
      <c r="T75" s="200">
        <f t="shared" si="3"/>
        <v>0</v>
      </c>
    </row>
    <row r="76" spans="1:20" ht="15">
      <c r="A76" s="415">
        <v>70</v>
      </c>
      <c r="B76" s="415">
        <v>81</v>
      </c>
      <c r="C76" s="66" t="s">
        <v>2404</v>
      </c>
      <c r="D76" s="66" t="s">
        <v>285</v>
      </c>
      <c r="E76" s="413" t="s">
        <v>2066</v>
      </c>
      <c r="F76" s="594">
        <v>5.33E-2</v>
      </c>
      <c r="G76" s="594">
        <v>0.28899999999999998</v>
      </c>
      <c r="H76" s="594">
        <v>0.2455</v>
      </c>
      <c r="J76" s="195"/>
      <c r="K76" s="232"/>
      <c r="M76" t="s">
        <v>286</v>
      </c>
      <c r="N76" t="s">
        <v>285</v>
      </c>
      <c r="O76" t="s">
        <v>1411</v>
      </c>
      <c r="P76" s="608">
        <v>5.33E-2</v>
      </c>
      <c r="Q76" s="608">
        <v>0.28899999999999998</v>
      </c>
      <c r="S76" s="200">
        <f t="shared" si="2"/>
        <v>0</v>
      </c>
      <c r="T76" s="200">
        <f t="shared" si="3"/>
        <v>0</v>
      </c>
    </row>
    <row r="77" spans="1:20" ht="15">
      <c r="A77" s="415">
        <v>71</v>
      </c>
      <c r="B77" s="415">
        <v>310</v>
      </c>
      <c r="C77" s="66" t="s">
        <v>2408</v>
      </c>
      <c r="D77" s="66" t="s">
        <v>287</v>
      </c>
      <c r="E77" s="413" t="s">
        <v>2067</v>
      </c>
      <c r="F77" s="594">
        <v>5.1900000000000002E-2</v>
      </c>
      <c r="G77" s="594">
        <v>0.1739</v>
      </c>
      <c r="H77" s="594">
        <v>0.19009999999999999</v>
      </c>
      <c r="J77" s="195"/>
      <c r="K77" s="232"/>
      <c r="M77" t="s">
        <v>288</v>
      </c>
      <c r="N77" t="s">
        <v>287</v>
      </c>
      <c r="O77" t="s">
        <v>1400</v>
      </c>
      <c r="P77" s="608">
        <v>5.1900000000000002E-2</v>
      </c>
      <c r="Q77" s="608">
        <v>0.1739</v>
      </c>
      <c r="S77" s="200">
        <f t="shared" si="2"/>
        <v>0</v>
      </c>
      <c r="T77" s="200">
        <f t="shared" si="3"/>
        <v>0</v>
      </c>
    </row>
    <row r="78" spans="1:20" ht="15">
      <c r="A78" s="415">
        <v>72</v>
      </c>
      <c r="B78" s="415">
        <v>16</v>
      </c>
      <c r="C78" s="66" t="s">
        <v>2404</v>
      </c>
      <c r="D78" s="66" t="s">
        <v>289</v>
      </c>
      <c r="E78" s="413" t="s">
        <v>2068</v>
      </c>
      <c r="F78" s="594">
        <v>4.3E-3</v>
      </c>
      <c r="G78" s="594">
        <v>0.15190000000000001</v>
      </c>
      <c r="H78" s="594">
        <v>0.1467</v>
      </c>
      <c r="J78" s="195"/>
      <c r="K78" s="232"/>
      <c r="M78" t="s">
        <v>290</v>
      </c>
      <c r="N78" t="s">
        <v>289</v>
      </c>
      <c r="O78" t="s">
        <v>1330</v>
      </c>
      <c r="P78" s="608">
        <v>4.3E-3</v>
      </c>
      <c r="Q78" s="608">
        <v>0.15190000000000001</v>
      </c>
      <c r="S78" s="200">
        <f t="shared" si="2"/>
        <v>0</v>
      </c>
      <c r="T78" s="200">
        <f t="shared" si="3"/>
        <v>0</v>
      </c>
    </row>
    <row r="79" spans="1:20" ht="15">
      <c r="A79" s="415">
        <v>73</v>
      </c>
      <c r="B79" s="415">
        <v>99</v>
      </c>
      <c r="C79" s="66" t="s">
        <v>2404</v>
      </c>
      <c r="D79" s="66" t="s">
        <v>291</v>
      </c>
      <c r="E79" s="413" t="s">
        <v>2069</v>
      </c>
      <c r="F79" s="594">
        <v>5.4699999999999999E-2</v>
      </c>
      <c r="G79" s="594">
        <v>0.18490000000000001</v>
      </c>
      <c r="H79" s="594">
        <v>0.18379999999999999</v>
      </c>
      <c r="J79" s="195"/>
      <c r="K79" s="232"/>
      <c r="M79" t="s">
        <v>292</v>
      </c>
      <c r="N79" t="s">
        <v>291</v>
      </c>
      <c r="O79" t="s">
        <v>1264</v>
      </c>
      <c r="P79" s="608">
        <v>5.4699999999999999E-2</v>
      </c>
      <c r="Q79" s="608">
        <v>0.18490000000000001</v>
      </c>
      <c r="S79" s="200">
        <f t="shared" si="2"/>
        <v>0</v>
      </c>
      <c r="T79" s="200">
        <f t="shared" si="3"/>
        <v>0</v>
      </c>
    </row>
    <row r="80" spans="1:20" ht="15">
      <c r="A80" s="415">
        <v>74</v>
      </c>
      <c r="B80" s="415">
        <v>73</v>
      </c>
      <c r="C80" s="66" t="s">
        <v>2404</v>
      </c>
      <c r="D80" s="66" t="s">
        <v>293</v>
      </c>
      <c r="E80" s="413" t="s">
        <v>2070</v>
      </c>
      <c r="F80" s="594">
        <v>6.0299999999999999E-2</v>
      </c>
      <c r="G80" s="594">
        <v>0.29899999999999999</v>
      </c>
      <c r="H80" s="594">
        <v>0.30649999999999999</v>
      </c>
      <c r="J80" s="195"/>
      <c r="K80" s="232"/>
      <c r="M80" t="s">
        <v>294</v>
      </c>
      <c r="N80" t="s">
        <v>293</v>
      </c>
      <c r="O80" t="s">
        <v>1464</v>
      </c>
      <c r="P80" s="608">
        <v>6.0299999999999999E-2</v>
      </c>
      <c r="Q80" s="608">
        <v>0.29899999999999999</v>
      </c>
      <c r="S80" s="200">
        <f t="shared" si="2"/>
        <v>0</v>
      </c>
      <c r="T80" s="200">
        <f t="shared" si="3"/>
        <v>0</v>
      </c>
    </row>
    <row r="81" spans="1:20" ht="15">
      <c r="A81" s="415">
        <v>75</v>
      </c>
      <c r="B81" s="415">
        <v>38</v>
      </c>
      <c r="C81" s="66" t="s">
        <v>2404</v>
      </c>
      <c r="D81" s="66" t="s">
        <v>295</v>
      </c>
      <c r="E81" s="413" t="s">
        <v>2071</v>
      </c>
      <c r="F81" s="594">
        <v>5.3699999999999998E-2</v>
      </c>
      <c r="G81" s="594">
        <v>0.24060000000000001</v>
      </c>
      <c r="H81" s="594">
        <v>0.2356</v>
      </c>
      <c r="J81" s="195"/>
      <c r="K81" s="232"/>
      <c r="M81" t="s">
        <v>296</v>
      </c>
      <c r="N81" t="s">
        <v>295</v>
      </c>
      <c r="O81" t="s">
        <v>1276</v>
      </c>
      <c r="P81" s="608">
        <v>5.3699999999999998E-2</v>
      </c>
      <c r="Q81" s="608">
        <v>0.24060000000000001</v>
      </c>
      <c r="S81" s="200">
        <f t="shared" si="2"/>
        <v>0</v>
      </c>
      <c r="T81" s="200">
        <f t="shared" si="3"/>
        <v>0</v>
      </c>
    </row>
    <row r="82" spans="1:20" ht="15">
      <c r="A82" s="415">
        <v>76</v>
      </c>
      <c r="B82" s="415">
        <v>258</v>
      </c>
      <c r="C82" s="66" t="s">
        <v>2409</v>
      </c>
      <c r="D82" s="66" t="s">
        <v>297</v>
      </c>
      <c r="E82" s="413" t="s">
        <v>2072</v>
      </c>
      <c r="F82" s="594">
        <v>2.6100000000000002E-2</v>
      </c>
      <c r="G82" s="594">
        <v>0.16259999999999999</v>
      </c>
      <c r="H82" s="594">
        <v>0.16400000000000001</v>
      </c>
      <c r="J82" s="195"/>
      <c r="K82" s="232"/>
      <c r="M82" t="s">
        <v>298</v>
      </c>
      <c r="N82" t="s">
        <v>297</v>
      </c>
      <c r="O82" t="s">
        <v>1199</v>
      </c>
      <c r="P82" s="608">
        <v>2.6100000000000002E-2</v>
      </c>
      <c r="Q82" s="608">
        <v>0.16259999999999999</v>
      </c>
      <c r="S82" s="200">
        <f t="shared" si="2"/>
        <v>0</v>
      </c>
      <c r="T82" s="200">
        <f t="shared" si="3"/>
        <v>0</v>
      </c>
    </row>
    <row r="83" spans="1:20" ht="15">
      <c r="A83" s="415">
        <v>77</v>
      </c>
      <c r="B83" s="415">
        <v>329</v>
      </c>
      <c r="C83" s="66" t="s">
        <v>2409</v>
      </c>
      <c r="D83" s="66" t="s">
        <v>299</v>
      </c>
      <c r="E83" s="413" t="s">
        <v>2073</v>
      </c>
      <c r="F83" s="594">
        <v>2.3E-2</v>
      </c>
      <c r="G83" s="594">
        <v>0.18459999999999999</v>
      </c>
      <c r="H83" s="594">
        <v>0.21329999999999999</v>
      </c>
      <c r="J83" s="195"/>
      <c r="K83" s="232"/>
      <c r="M83" t="s">
        <v>300</v>
      </c>
      <c r="N83" t="s">
        <v>299</v>
      </c>
      <c r="O83" t="s">
        <v>1289</v>
      </c>
      <c r="P83" s="608">
        <v>2.3E-2</v>
      </c>
      <c r="Q83" s="608">
        <v>0.18459999999999999</v>
      </c>
      <c r="S83" s="200">
        <f t="shared" si="2"/>
        <v>0</v>
      </c>
      <c r="T83" s="200">
        <f t="shared" si="3"/>
        <v>0</v>
      </c>
    </row>
    <row r="84" spans="1:20" ht="15">
      <c r="A84" s="415">
        <v>78</v>
      </c>
      <c r="B84" s="415">
        <v>39</v>
      </c>
      <c r="C84" s="66" t="s">
        <v>2409</v>
      </c>
      <c r="D84" s="66" t="s">
        <v>301</v>
      </c>
      <c r="E84" s="413" t="s">
        <v>2074</v>
      </c>
      <c r="F84" s="594">
        <v>4.5199999999999997E-2</v>
      </c>
      <c r="G84" s="594">
        <v>0.20380000000000001</v>
      </c>
      <c r="H84" s="594">
        <v>0.19359999999999999</v>
      </c>
      <c r="J84" s="195"/>
      <c r="K84" s="232"/>
      <c r="M84" t="s">
        <v>302</v>
      </c>
      <c r="N84" t="s">
        <v>301</v>
      </c>
      <c r="O84" t="s">
        <v>1342</v>
      </c>
      <c r="P84" s="608">
        <v>4.5199999999999997E-2</v>
      </c>
      <c r="Q84" s="608">
        <v>0.20380000000000001</v>
      </c>
      <c r="S84" s="200">
        <f t="shared" si="2"/>
        <v>0</v>
      </c>
      <c r="T84" s="200">
        <f t="shared" si="3"/>
        <v>0</v>
      </c>
    </row>
    <row r="85" spans="1:20" ht="15">
      <c r="A85" s="415">
        <v>79</v>
      </c>
      <c r="B85" s="415">
        <v>282</v>
      </c>
      <c r="C85" s="66" t="s">
        <v>2409</v>
      </c>
      <c r="D85" s="66" t="s">
        <v>303</v>
      </c>
      <c r="E85" s="413" t="s">
        <v>2075</v>
      </c>
      <c r="F85" s="594">
        <v>5.11E-2</v>
      </c>
      <c r="G85" s="594">
        <v>0.20039999999999999</v>
      </c>
      <c r="H85" s="594">
        <v>0.2084</v>
      </c>
      <c r="J85" s="195"/>
      <c r="K85" s="232"/>
      <c r="M85" t="s">
        <v>304</v>
      </c>
      <c r="N85" t="s">
        <v>303</v>
      </c>
      <c r="O85" t="s">
        <v>2461</v>
      </c>
      <c r="P85" s="608">
        <v>5.11E-2</v>
      </c>
      <c r="Q85" s="608">
        <v>0.20039999999999999</v>
      </c>
      <c r="S85" s="200">
        <f t="shared" si="2"/>
        <v>0</v>
      </c>
      <c r="T85" s="200">
        <f t="shared" si="3"/>
        <v>0</v>
      </c>
    </row>
    <row r="86" spans="1:20" ht="15">
      <c r="A86" s="415">
        <v>80</v>
      </c>
      <c r="B86" s="415">
        <v>131</v>
      </c>
      <c r="C86" s="66" t="s">
        <v>2409</v>
      </c>
      <c r="D86" s="66" t="s">
        <v>305</v>
      </c>
      <c r="E86" s="413" t="s">
        <v>2076</v>
      </c>
      <c r="F86" s="594">
        <v>1.6799999999999999E-2</v>
      </c>
      <c r="G86" s="594">
        <v>0.1414</v>
      </c>
      <c r="H86" s="594">
        <v>0.1273</v>
      </c>
      <c r="J86" s="195"/>
      <c r="K86" s="232"/>
      <c r="M86" t="s">
        <v>306</v>
      </c>
      <c r="N86" t="s">
        <v>305</v>
      </c>
      <c r="O86" t="s">
        <v>1328</v>
      </c>
      <c r="P86" s="608">
        <v>1.6799999999999999E-2</v>
      </c>
      <c r="Q86" s="608">
        <v>0.1414</v>
      </c>
      <c r="S86" s="200">
        <f t="shared" si="2"/>
        <v>0</v>
      </c>
      <c r="T86" s="200">
        <f t="shared" si="3"/>
        <v>0</v>
      </c>
    </row>
    <row r="87" spans="1:20" ht="15">
      <c r="A87" s="415">
        <v>81</v>
      </c>
      <c r="B87" s="415">
        <v>116</v>
      </c>
      <c r="C87" s="66" t="s">
        <v>2409</v>
      </c>
      <c r="D87" s="66" t="s">
        <v>307</v>
      </c>
      <c r="E87" s="413" t="s">
        <v>2077</v>
      </c>
      <c r="F87" s="594">
        <v>4.19E-2</v>
      </c>
      <c r="G87" s="594">
        <v>0.1431</v>
      </c>
      <c r="H87" s="594">
        <v>0.15429999999999999</v>
      </c>
      <c r="J87" s="195"/>
      <c r="K87" s="232"/>
      <c r="M87" t="s">
        <v>308</v>
      </c>
      <c r="N87" t="s">
        <v>307</v>
      </c>
      <c r="O87" t="s">
        <v>1260</v>
      </c>
      <c r="P87" s="608">
        <v>4.19E-2</v>
      </c>
      <c r="Q87" s="608">
        <v>0.1431</v>
      </c>
      <c r="S87" s="200">
        <f t="shared" si="2"/>
        <v>0</v>
      </c>
      <c r="T87" s="200">
        <f t="shared" si="3"/>
        <v>0</v>
      </c>
    </row>
    <row r="88" spans="1:20" ht="15">
      <c r="A88" s="415">
        <v>82</v>
      </c>
      <c r="B88" s="415">
        <v>64</v>
      </c>
      <c r="C88" s="66" t="s">
        <v>2409</v>
      </c>
      <c r="D88" s="66" t="s">
        <v>309</v>
      </c>
      <c r="E88" s="413" t="s">
        <v>2078</v>
      </c>
      <c r="F88" s="594">
        <v>0.14879999999999999</v>
      </c>
      <c r="G88" s="594">
        <v>0.42549999999999999</v>
      </c>
      <c r="H88" s="594">
        <v>0.4859</v>
      </c>
      <c r="J88" s="195"/>
      <c r="K88" s="232"/>
      <c r="M88" t="s">
        <v>310</v>
      </c>
      <c r="N88" t="s">
        <v>309</v>
      </c>
      <c r="O88" t="s">
        <v>1432</v>
      </c>
      <c r="P88" s="608">
        <v>0.14879999999999999</v>
      </c>
      <c r="Q88" s="608">
        <v>0.42549999999999999</v>
      </c>
      <c r="S88" s="200">
        <f t="shared" si="2"/>
        <v>0</v>
      </c>
      <c r="T88" s="200">
        <f t="shared" si="3"/>
        <v>0</v>
      </c>
    </row>
    <row r="89" spans="1:20" ht="15">
      <c r="A89" s="415">
        <v>83</v>
      </c>
      <c r="B89" s="415">
        <v>21</v>
      </c>
      <c r="C89" s="66" t="s">
        <v>2409</v>
      </c>
      <c r="D89" s="66" t="s">
        <v>311</v>
      </c>
      <c r="E89" s="413" t="s">
        <v>2079</v>
      </c>
      <c r="F89" s="594">
        <v>5.3600000000000002E-2</v>
      </c>
      <c r="G89" s="594">
        <v>0.22869999999999999</v>
      </c>
      <c r="H89" s="594">
        <v>0.2112</v>
      </c>
      <c r="J89" s="195"/>
      <c r="K89" s="232"/>
      <c r="M89" t="s">
        <v>1592</v>
      </c>
      <c r="N89" t="s">
        <v>311</v>
      </c>
      <c r="O89" t="s">
        <v>2469</v>
      </c>
      <c r="P89" s="608">
        <v>5.3600000000000002E-2</v>
      </c>
      <c r="Q89" s="608">
        <v>0.22869999999999999</v>
      </c>
      <c r="S89" s="200">
        <f t="shared" si="2"/>
        <v>0</v>
      </c>
      <c r="T89" s="200">
        <f t="shared" si="3"/>
        <v>0</v>
      </c>
    </row>
    <row r="90" spans="1:20" ht="15">
      <c r="A90" s="415">
        <v>84</v>
      </c>
      <c r="B90" s="415">
        <v>225</v>
      </c>
      <c r="C90" s="66" t="s">
        <v>2409</v>
      </c>
      <c r="D90" s="66" t="s">
        <v>312</v>
      </c>
      <c r="E90" s="413" t="s">
        <v>2080</v>
      </c>
      <c r="F90" s="594">
        <v>3.04E-2</v>
      </c>
      <c r="G90" s="594">
        <v>0.22470000000000001</v>
      </c>
      <c r="H90" s="594">
        <v>0.16919999999999999</v>
      </c>
      <c r="J90" s="195"/>
      <c r="K90" s="232"/>
      <c r="M90" t="s">
        <v>313</v>
      </c>
      <c r="N90" t="s">
        <v>312</v>
      </c>
      <c r="O90" t="s">
        <v>1242</v>
      </c>
      <c r="P90" s="608">
        <v>3.04E-2</v>
      </c>
      <c r="Q90" s="608">
        <v>0.22470000000000001</v>
      </c>
      <c r="S90" s="200">
        <f t="shared" si="2"/>
        <v>0</v>
      </c>
      <c r="T90" s="200">
        <f t="shared" si="3"/>
        <v>0</v>
      </c>
    </row>
    <row r="91" spans="1:20" ht="15">
      <c r="A91" s="415">
        <v>85</v>
      </c>
      <c r="B91" s="415">
        <v>151</v>
      </c>
      <c r="C91" s="66" t="s">
        <v>2409</v>
      </c>
      <c r="D91" s="66" t="s">
        <v>314</v>
      </c>
      <c r="E91" s="413" t="s">
        <v>2081</v>
      </c>
      <c r="F91" s="594">
        <v>0.10050000000000001</v>
      </c>
      <c r="G91" s="594">
        <v>0.36909999999999998</v>
      </c>
      <c r="H91" s="594">
        <v>0.30859999999999999</v>
      </c>
      <c r="J91" s="195"/>
      <c r="K91" s="232"/>
      <c r="M91" t="s">
        <v>315</v>
      </c>
      <c r="N91" t="s">
        <v>314</v>
      </c>
      <c r="O91" t="s">
        <v>1401</v>
      </c>
      <c r="P91" s="608">
        <v>0.10050000000000001</v>
      </c>
      <c r="Q91" s="608">
        <v>0.36909999999999998</v>
      </c>
      <c r="S91" s="200">
        <f t="shared" si="2"/>
        <v>0</v>
      </c>
      <c r="T91" s="200">
        <f t="shared" si="3"/>
        <v>0</v>
      </c>
    </row>
    <row r="92" spans="1:20" ht="15">
      <c r="A92" s="415">
        <v>86</v>
      </c>
      <c r="B92" s="415">
        <v>230</v>
      </c>
      <c r="C92" s="66" t="s">
        <v>2409</v>
      </c>
      <c r="D92" s="66" t="s">
        <v>316</v>
      </c>
      <c r="E92" s="413" t="s">
        <v>2082</v>
      </c>
      <c r="F92" s="594">
        <v>8.77E-2</v>
      </c>
      <c r="G92" s="594">
        <v>0.26840000000000003</v>
      </c>
      <c r="H92" s="594">
        <v>0.26019999999999999</v>
      </c>
      <c r="J92" s="195"/>
      <c r="K92" s="232"/>
      <c r="M92" t="s">
        <v>317</v>
      </c>
      <c r="N92" t="s">
        <v>316</v>
      </c>
      <c r="O92" t="s">
        <v>1466</v>
      </c>
      <c r="P92" s="608">
        <v>8.77E-2</v>
      </c>
      <c r="Q92" s="608">
        <v>0.26840000000000003</v>
      </c>
      <c r="S92" s="200">
        <f t="shared" si="2"/>
        <v>0</v>
      </c>
      <c r="T92" s="200">
        <f t="shared" si="3"/>
        <v>0</v>
      </c>
    </row>
    <row r="93" spans="1:20" ht="15">
      <c r="A93" s="415">
        <v>87</v>
      </c>
      <c r="B93" s="415">
        <v>34</v>
      </c>
      <c r="C93" s="66" t="s">
        <v>2409</v>
      </c>
      <c r="D93" s="66" t="s">
        <v>318</v>
      </c>
      <c r="E93" s="413" t="s">
        <v>2083</v>
      </c>
      <c r="F93" s="594">
        <v>3.32E-2</v>
      </c>
      <c r="G93" s="594">
        <v>0.22600000000000001</v>
      </c>
      <c r="H93" s="594">
        <v>0.18820000000000001</v>
      </c>
      <c r="J93" s="195"/>
      <c r="K93" s="232"/>
      <c r="M93" t="s">
        <v>319</v>
      </c>
      <c r="N93" t="s">
        <v>318</v>
      </c>
      <c r="O93" t="s">
        <v>1353</v>
      </c>
      <c r="P93" s="608">
        <v>3.32E-2</v>
      </c>
      <c r="Q93" s="608">
        <v>0.22600000000000001</v>
      </c>
      <c r="S93" s="200">
        <f t="shared" si="2"/>
        <v>0</v>
      </c>
      <c r="T93" s="200">
        <f t="shared" si="3"/>
        <v>0</v>
      </c>
    </row>
    <row r="94" spans="1:20" ht="15">
      <c r="A94" s="415">
        <v>88</v>
      </c>
      <c r="B94" s="415">
        <v>269</v>
      </c>
      <c r="C94" s="66" t="s">
        <v>2409</v>
      </c>
      <c r="D94" s="66" t="s">
        <v>320</v>
      </c>
      <c r="E94" s="413" t="s">
        <v>2084</v>
      </c>
      <c r="F94" s="594">
        <v>3.8699999999999998E-2</v>
      </c>
      <c r="G94" s="594">
        <v>0.26989999999999997</v>
      </c>
      <c r="H94" s="594">
        <v>0.26829999999999998</v>
      </c>
      <c r="J94" s="195"/>
      <c r="K94" s="232"/>
      <c r="M94" t="s">
        <v>321</v>
      </c>
      <c r="N94" t="s">
        <v>320</v>
      </c>
      <c r="O94" t="s">
        <v>1351</v>
      </c>
      <c r="P94" s="608">
        <v>3.8699999999999998E-2</v>
      </c>
      <c r="Q94" s="608">
        <v>0.26989999999999997</v>
      </c>
      <c r="S94" s="200">
        <f t="shared" si="2"/>
        <v>0</v>
      </c>
      <c r="T94" s="200">
        <f t="shared" si="3"/>
        <v>0</v>
      </c>
    </row>
    <row r="95" spans="1:20" ht="15">
      <c r="A95" s="415">
        <v>89</v>
      </c>
      <c r="B95" s="415">
        <v>98</v>
      </c>
      <c r="C95" s="66" t="s">
        <v>2410</v>
      </c>
      <c r="D95" s="66" t="s">
        <v>322</v>
      </c>
      <c r="E95" s="413" t="s">
        <v>2085</v>
      </c>
      <c r="F95" s="594">
        <v>5.3400000000000003E-2</v>
      </c>
      <c r="G95" s="594">
        <v>0.14779999999999999</v>
      </c>
      <c r="H95" s="594">
        <v>0.18459999999999999</v>
      </c>
      <c r="J95" s="195"/>
      <c r="K95" s="232"/>
      <c r="M95" t="s">
        <v>323</v>
      </c>
      <c r="N95" t="s">
        <v>322</v>
      </c>
      <c r="O95" t="s">
        <v>1349</v>
      </c>
      <c r="P95" s="608">
        <v>5.3400000000000003E-2</v>
      </c>
      <c r="Q95" s="608">
        <v>0.14779999999999999</v>
      </c>
      <c r="S95" s="200">
        <f t="shared" si="2"/>
        <v>0</v>
      </c>
      <c r="T95" s="200">
        <f t="shared" si="3"/>
        <v>0</v>
      </c>
    </row>
    <row r="96" spans="1:20" ht="15">
      <c r="A96" s="415">
        <v>90</v>
      </c>
      <c r="B96" s="415">
        <v>293</v>
      </c>
      <c r="C96" s="66" t="s">
        <v>2410</v>
      </c>
      <c r="D96" s="66" t="s">
        <v>324</v>
      </c>
      <c r="E96" s="413" t="s">
        <v>2086</v>
      </c>
      <c r="F96" s="594">
        <v>5.6300000000000003E-2</v>
      </c>
      <c r="G96" s="594">
        <v>0.20810000000000001</v>
      </c>
      <c r="H96" s="594">
        <v>0.21920000000000001</v>
      </c>
      <c r="J96" s="195"/>
      <c r="K96" s="232"/>
      <c r="M96" t="s">
        <v>325</v>
      </c>
      <c r="N96" t="s">
        <v>324</v>
      </c>
      <c r="O96" t="s">
        <v>1243</v>
      </c>
      <c r="P96" s="608">
        <v>5.6300000000000003E-2</v>
      </c>
      <c r="Q96" s="608">
        <v>0.20810000000000001</v>
      </c>
      <c r="S96" s="200">
        <f t="shared" si="2"/>
        <v>0</v>
      </c>
      <c r="T96" s="200">
        <f t="shared" si="3"/>
        <v>0</v>
      </c>
    </row>
    <row r="97" spans="1:20" ht="15">
      <c r="A97" s="415">
        <v>91</v>
      </c>
      <c r="B97" s="415">
        <v>210</v>
      </c>
      <c r="C97" s="66" t="s">
        <v>2410</v>
      </c>
      <c r="D97" s="66" t="s">
        <v>326</v>
      </c>
      <c r="E97" s="413" t="s">
        <v>2087</v>
      </c>
      <c r="F97" s="594">
        <v>5.0799999999999998E-2</v>
      </c>
      <c r="G97" s="594">
        <v>0.1981</v>
      </c>
      <c r="H97" s="594">
        <v>0.21110000000000001</v>
      </c>
      <c r="J97" s="195"/>
      <c r="K97" s="232"/>
      <c r="M97" t="s">
        <v>327</v>
      </c>
      <c r="N97" t="s">
        <v>326</v>
      </c>
      <c r="O97" t="s">
        <v>1414</v>
      </c>
      <c r="P97" s="608">
        <v>5.0799999999999998E-2</v>
      </c>
      <c r="Q97" s="608">
        <v>0.1981</v>
      </c>
      <c r="S97" s="200">
        <f t="shared" si="2"/>
        <v>0</v>
      </c>
      <c r="T97" s="200">
        <f t="shared" si="3"/>
        <v>0</v>
      </c>
    </row>
    <row r="98" spans="1:20" ht="15">
      <c r="A98" s="415">
        <v>92</v>
      </c>
      <c r="B98" s="415">
        <v>11</v>
      </c>
      <c r="C98" s="66" t="s">
        <v>2406</v>
      </c>
      <c r="D98" s="66" t="s">
        <v>328</v>
      </c>
      <c r="E98" s="413" t="s">
        <v>2088</v>
      </c>
      <c r="F98" s="594">
        <v>6.1699999999999998E-2</v>
      </c>
      <c r="G98" s="594">
        <v>0.60680000000000001</v>
      </c>
      <c r="H98" s="594">
        <v>0.75419999999999998</v>
      </c>
      <c r="J98" s="195"/>
      <c r="K98" s="232"/>
      <c r="M98" t="s">
        <v>329</v>
      </c>
      <c r="N98" t="s">
        <v>328</v>
      </c>
      <c r="O98" t="s">
        <v>1382</v>
      </c>
      <c r="P98" s="608">
        <v>6.1699999999999998E-2</v>
      </c>
      <c r="Q98" s="608">
        <v>0.60680000000000001</v>
      </c>
      <c r="S98" s="200">
        <f t="shared" si="2"/>
        <v>0</v>
      </c>
      <c r="T98" s="200">
        <f t="shared" si="3"/>
        <v>0</v>
      </c>
    </row>
    <row r="99" spans="1:20" ht="15">
      <c r="A99" s="415">
        <v>93</v>
      </c>
      <c r="B99" s="415">
        <v>206</v>
      </c>
      <c r="C99" s="66" t="s">
        <v>2406</v>
      </c>
      <c r="D99" s="66" t="s">
        <v>330</v>
      </c>
      <c r="E99" s="413" t="s">
        <v>2089</v>
      </c>
      <c r="F99" s="594">
        <v>0.1138</v>
      </c>
      <c r="G99" s="594">
        <v>0.39300000000000002</v>
      </c>
      <c r="H99" s="594">
        <v>0.37809999999999999</v>
      </c>
      <c r="J99" s="195"/>
      <c r="K99" s="232"/>
      <c r="M99" t="s">
        <v>331</v>
      </c>
      <c r="N99" t="s">
        <v>330</v>
      </c>
      <c r="O99" t="s">
        <v>1217</v>
      </c>
      <c r="P99" s="608">
        <v>0.1138</v>
      </c>
      <c r="Q99" s="608">
        <v>0.39300000000000002</v>
      </c>
      <c r="S99" s="200">
        <f t="shared" si="2"/>
        <v>0</v>
      </c>
      <c r="T99" s="200">
        <f t="shared" si="3"/>
        <v>0</v>
      </c>
    </row>
    <row r="100" spans="1:20" ht="15">
      <c r="A100" s="415">
        <v>94</v>
      </c>
      <c r="B100" s="415">
        <v>251</v>
      </c>
      <c r="C100" s="66" t="s">
        <v>2406</v>
      </c>
      <c r="D100" s="66" t="s">
        <v>332</v>
      </c>
      <c r="E100" s="413" t="s">
        <v>2090</v>
      </c>
      <c r="F100" s="594">
        <v>3.9899999999999998E-2</v>
      </c>
      <c r="G100" s="594">
        <v>0.20169999999999999</v>
      </c>
      <c r="H100" s="594">
        <v>0.1822</v>
      </c>
      <c r="J100" s="195"/>
      <c r="K100" s="232"/>
      <c r="M100" t="s">
        <v>333</v>
      </c>
      <c r="N100" t="s">
        <v>332</v>
      </c>
      <c r="O100" t="s">
        <v>1383</v>
      </c>
      <c r="P100" s="608">
        <v>3.9899999999999998E-2</v>
      </c>
      <c r="Q100" s="608">
        <v>0.20169999999999999</v>
      </c>
      <c r="S100" s="200">
        <f t="shared" si="2"/>
        <v>0</v>
      </c>
      <c r="T100" s="200">
        <f t="shared" si="3"/>
        <v>0</v>
      </c>
    </row>
    <row r="101" spans="1:20" ht="15">
      <c r="A101" s="415">
        <v>95</v>
      </c>
      <c r="B101" s="415">
        <v>307</v>
      </c>
      <c r="C101" s="66" t="s">
        <v>2406</v>
      </c>
      <c r="D101" s="66" t="s">
        <v>334</v>
      </c>
      <c r="E101" s="413" t="s">
        <v>2091</v>
      </c>
      <c r="F101" s="594">
        <v>3.6799999999999999E-2</v>
      </c>
      <c r="G101" s="594">
        <v>0.2334</v>
      </c>
      <c r="H101" s="594">
        <v>0.24529999999999999</v>
      </c>
      <c r="J101" s="195"/>
      <c r="K101" s="232"/>
      <c r="M101" t="s">
        <v>335</v>
      </c>
      <c r="N101" t="s">
        <v>334</v>
      </c>
      <c r="O101" t="s">
        <v>1231</v>
      </c>
      <c r="P101" s="608">
        <v>3.6799999999999999E-2</v>
      </c>
      <c r="Q101" s="608">
        <v>0.2334</v>
      </c>
      <c r="S101" s="200">
        <f t="shared" si="2"/>
        <v>0</v>
      </c>
      <c r="T101" s="200">
        <f t="shared" si="3"/>
        <v>0</v>
      </c>
    </row>
    <row r="102" spans="1:20" ht="15">
      <c r="A102" s="415">
        <v>96</v>
      </c>
      <c r="B102" s="415">
        <v>144</v>
      </c>
      <c r="C102" s="66" t="s">
        <v>2406</v>
      </c>
      <c r="D102" s="66" t="s">
        <v>336</v>
      </c>
      <c r="E102" s="413" t="s">
        <v>2092</v>
      </c>
      <c r="F102" s="594">
        <v>3.8100000000000002E-2</v>
      </c>
      <c r="G102" s="594">
        <v>0.19639999999999999</v>
      </c>
      <c r="H102" s="594">
        <v>0.19009999999999999</v>
      </c>
      <c r="J102" s="195"/>
      <c r="K102" s="232"/>
      <c r="M102" t="s">
        <v>337</v>
      </c>
      <c r="N102" t="s">
        <v>336</v>
      </c>
      <c r="O102" t="s">
        <v>1376</v>
      </c>
      <c r="P102" s="608">
        <v>3.8100000000000002E-2</v>
      </c>
      <c r="Q102" s="608">
        <v>0.19639999999999999</v>
      </c>
      <c r="S102" s="200">
        <f t="shared" si="2"/>
        <v>0</v>
      </c>
      <c r="T102" s="200">
        <f t="shared" si="3"/>
        <v>0</v>
      </c>
    </row>
    <row r="103" spans="1:20" ht="15">
      <c r="A103" s="415">
        <v>97</v>
      </c>
      <c r="B103" s="415">
        <v>147</v>
      </c>
      <c r="C103" s="66" t="s">
        <v>2411</v>
      </c>
      <c r="D103" s="66" t="s">
        <v>338</v>
      </c>
      <c r="E103" s="413" t="s">
        <v>2093</v>
      </c>
      <c r="F103" s="594">
        <v>4.7100000000000003E-2</v>
      </c>
      <c r="G103" s="594">
        <v>0.158</v>
      </c>
      <c r="H103" s="594">
        <v>0.14019999999999999</v>
      </c>
      <c r="J103" s="195"/>
      <c r="K103" s="232"/>
      <c r="M103" t="s">
        <v>339</v>
      </c>
      <c r="N103" t="s">
        <v>338</v>
      </c>
      <c r="O103" t="s">
        <v>2474</v>
      </c>
      <c r="P103" s="608">
        <v>4.7100000000000003E-2</v>
      </c>
      <c r="Q103" s="608">
        <v>0.158</v>
      </c>
      <c r="S103" s="200">
        <f t="shared" si="2"/>
        <v>0</v>
      </c>
      <c r="T103" s="200">
        <f t="shared" si="3"/>
        <v>0</v>
      </c>
    </row>
    <row r="104" spans="1:20" ht="15">
      <c r="A104" s="415">
        <v>98</v>
      </c>
      <c r="B104" s="415">
        <v>75</v>
      </c>
      <c r="C104" s="66" t="s">
        <v>2411</v>
      </c>
      <c r="D104" s="66" t="s">
        <v>340</v>
      </c>
      <c r="E104" s="413" t="s">
        <v>2094</v>
      </c>
      <c r="F104" s="594">
        <v>3.2500000000000001E-2</v>
      </c>
      <c r="G104" s="594">
        <v>0.14860000000000001</v>
      </c>
      <c r="H104" s="594">
        <v>0.1444</v>
      </c>
      <c r="J104" s="195"/>
      <c r="K104" s="232"/>
      <c r="M104" t="s">
        <v>341</v>
      </c>
      <c r="N104" t="s">
        <v>340</v>
      </c>
      <c r="O104" t="s">
        <v>1267</v>
      </c>
      <c r="P104" s="608">
        <v>3.2500000000000001E-2</v>
      </c>
      <c r="Q104" s="608">
        <v>0.14860000000000001</v>
      </c>
      <c r="S104" s="200">
        <f t="shared" si="2"/>
        <v>0</v>
      </c>
      <c r="T104" s="200">
        <f t="shared" si="3"/>
        <v>0</v>
      </c>
    </row>
    <row r="105" spans="1:20" ht="15">
      <c r="A105" s="415">
        <v>99</v>
      </c>
      <c r="B105" s="415">
        <v>320</v>
      </c>
      <c r="C105" s="66" t="s">
        <v>2411</v>
      </c>
      <c r="D105" s="66" t="s">
        <v>342</v>
      </c>
      <c r="E105" s="413" t="s">
        <v>2095</v>
      </c>
      <c r="F105" s="594">
        <v>3.73E-2</v>
      </c>
      <c r="G105" s="594">
        <v>0.17829999999999999</v>
      </c>
      <c r="H105" s="594">
        <v>0.13270000000000001</v>
      </c>
      <c r="J105" s="195"/>
      <c r="K105" s="232"/>
      <c r="M105" t="s">
        <v>343</v>
      </c>
      <c r="N105" t="s">
        <v>342</v>
      </c>
      <c r="O105" t="s">
        <v>1263</v>
      </c>
      <c r="P105" s="608">
        <v>3.73E-2</v>
      </c>
      <c r="Q105" s="608">
        <v>0.17829999999999999</v>
      </c>
      <c r="S105" s="200">
        <f t="shared" si="2"/>
        <v>0</v>
      </c>
      <c r="T105" s="200">
        <f t="shared" si="3"/>
        <v>0</v>
      </c>
    </row>
    <row r="106" spans="1:20" ht="15">
      <c r="A106" s="415">
        <v>100</v>
      </c>
      <c r="B106" s="415">
        <v>324</v>
      </c>
      <c r="C106" s="66" t="s">
        <v>2411</v>
      </c>
      <c r="D106" s="66" t="s">
        <v>344</v>
      </c>
      <c r="E106" s="413" t="s">
        <v>2096</v>
      </c>
      <c r="F106" s="594">
        <v>3.5200000000000002E-2</v>
      </c>
      <c r="G106" s="594">
        <v>0.14979999999999999</v>
      </c>
      <c r="H106" s="594">
        <v>0.14099999999999999</v>
      </c>
      <c r="J106" s="195"/>
      <c r="K106" s="232"/>
      <c r="M106" t="s">
        <v>345</v>
      </c>
      <c r="N106" t="s">
        <v>344</v>
      </c>
      <c r="O106" t="s">
        <v>1323</v>
      </c>
      <c r="P106" s="608">
        <v>3.5200000000000002E-2</v>
      </c>
      <c r="Q106" s="608">
        <v>0.14979999999999999</v>
      </c>
      <c r="S106" s="200">
        <f t="shared" si="2"/>
        <v>0</v>
      </c>
      <c r="T106" s="200">
        <f t="shared" si="3"/>
        <v>0</v>
      </c>
    </row>
    <row r="107" spans="1:20" ht="15">
      <c r="A107" s="415">
        <v>101</v>
      </c>
      <c r="B107" s="415">
        <v>242</v>
      </c>
      <c r="C107" s="66" t="s">
        <v>2411</v>
      </c>
      <c r="D107" s="66" t="s">
        <v>346</v>
      </c>
      <c r="E107" s="413" t="s">
        <v>2097</v>
      </c>
      <c r="F107" s="594">
        <v>4.8000000000000001E-2</v>
      </c>
      <c r="G107" s="594">
        <v>0.14319999999999999</v>
      </c>
      <c r="H107" s="594">
        <v>0.1615</v>
      </c>
      <c r="J107" s="195"/>
      <c r="K107" s="232"/>
      <c r="M107" t="s">
        <v>347</v>
      </c>
      <c r="N107" t="s">
        <v>346</v>
      </c>
      <c r="O107" t="s">
        <v>1286</v>
      </c>
      <c r="P107" s="608">
        <v>4.8000000000000001E-2</v>
      </c>
      <c r="Q107" s="608">
        <v>0.14319999999999999</v>
      </c>
      <c r="S107" s="200">
        <f t="shared" si="2"/>
        <v>0</v>
      </c>
      <c r="T107" s="200">
        <f t="shared" si="3"/>
        <v>0</v>
      </c>
    </row>
    <row r="108" spans="1:20" ht="15">
      <c r="A108" s="415">
        <v>102</v>
      </c>
      <c r="B108" s="415">
        <v>172</v>
      </c>
      <c r="C108" s="66" t="s">
        <v>2411</v>
      </c>
      <c r="D108" s="66" t="s">
        <v>348</v>
      </c>
      <c r="E108" s="413" t="s">
        <v>2098</v>
      </c>
      <c r="F108" s="594">
        <v>4.3999999999999997E-2</v>
      </c>
      <c r="G108" s="594">
        <v>0.2374</v>
      </c>
      <c r="H108" s="594">
        <v>0.25669999999999998</v>
      </c>
      <c r="J108" s="195"/>
      <c r="K108" s="232"/>
      <c r="M108" t="s">
        <v>349</v>
      </c>
      <c r="N108" t="s">
        <v>348</v>
      </c>
      <c r="O108" t="s">
        <v>1449</v>
      </c>
      <c r="P108" s="608">
        <v>4.3999999999999997E-2</v>
      </c>
      <c r="Q108" s="608">
        <v>0.2374</v>
      </c>
      <c r="S108" s="200">
        <f t="shared" si="2"/>
        <v>0</v>
      </c>
      <c r="T108" s="200">
        <f t="shared" si="3"/>
        <v>0</v>
      </c>
    </row>
    <row r="109" spans="1:20" ht="15">
      <c r="A109" s="415">
        <v>103</v>
      </c>
      <c r="B109" s="415">
        <v>246</v>
      </c>
      <c r="C109" s="66" t="s">
        <v>2411</v>
      </c>
      <c r="D109" s="66" t="s">
        <v>350</v>
      </c>
      <c r="E109" s="413" t="s">
        <v>2099</v>
      </c>
      <c r="F109" s="594">
        <v>2.9100000000000001E-2</v>
      </c>
      <c r="G109" s="594">
        <v>0.1244</v>
      </c>
      <c r="H109" s="594">
        <v>0.1208</v>
      </c>
      <c r="J109" s="195"/>
      <c r="K109" s="232"/>
      <c r="M109" t="s">
        <v>351</v>
      </c>
      <c r="N109" t="s">
        <v>350</v>
      </c>
      <c r="O109" t="s">
        <v>1390</v>
      </c>
      <c r="P109" s="608">
        <v>2.9100000000000001E-2</v>
      </c>
      <c r="Q109" s="608">
        <v>0.1244</v>
      </c>
      <c r="S109" s="200">
        <f t="shared" si="2"/>
        <v>0</v>
      </c>
      <c r="T109" s="200">
        <f t="shared" si="3"/>
        <v>0</v>
      </c>
    </row>
    <row r="110" spans="1:20" ht="15">
      <c r="A110" s="415">
        <v>104</v>
      </c>
      <c r="B110" s="415">
        <v>32</v>
      </c>
      <c r="C110" s="66" t="s">
        <v>2411</v>
      </c>
      <c r="D110" s="66" t="s">
        <v>352</v>
      </c>
      <c r="E110" s="413" t="s">
        <v>2100</v>
      </c>
      <c r="F110" s="594">
        <v>4.2799999999999998E-2</v>
      </c>
      <c r="G110" s="594">
        <v>0.29520000000000002</v>
      </c>
      <c r="H110" s="594">
        <v>0.2397</v>
      </c>
      <c r="J110" s="195"/>
      <c r="K110" s="232"/>
      <c r="M110" t="s">
        <v>353</v>
      </c>
      <c r="N110" t="s">
        <v>352</v>
      </c>
      <c r="O110" t="s">
        <v>1408</v>
      </c>
      <c r="P110" s="608">
        <v>4.2799999999999998E-2</v>
      </c>
      <c r="Q110" s="608">
        <v>0.29520000000000002</v>
      </c>
      <c r="S110" s="200">
        <f t="shared" si="2"/>
        <v>0</v>
      </c>
      <c r="T110" s="200">
        <f t="shared" si="3"/>
        <v>0</v>
      </c>
    </row>
    <row r="111" spans="1:20" ht="15">
      <c r="A111" s="415">
        <v>105</v>
      </c>
      <c r="B111" s="415">
        <v>279</v>
      </c>
      <c r="C111" s="66" t="s">
        <v>2411</v>
      </c>
      <c r="D111" s="66" t="s">
        <v>354</v>
      </c>
      <c r="E111" s="413" t="s">
        <v>2101</v>
      </c>
      <c r="F111" s="594">
        <v>3.6700000000000003E-2</v>
      </c>
      <c r="G111" s="594">
        <v>0.12759999999999999</v>
      </c>
      <c r="H111" s="594">
        <v>0.1181</v>
      </c>
      <c r="J111" s="195"/>
      <c r="K111" s="232"/>
      <c r="M111" t="s">
        <v>355</v>
      </c>
      <c r="N111" t="s">
        <v>354</v>
      </c>
      <c r="O111" t="s">
        <v>1207</v>
      </c>
      <c r="P111" s="608">
        <v>3.6700000000000003E-2</v>
      </c>
      <c r="Q111" s="608">
        <v>0.12759999999999999</v>
      </c>
      <c r="S111" s="200">
        <f t="shared" si="2"/>
        <v>0</v>
      </c>
      <c r="T111" s="200">
        <f t="shared" si="3"/>
        <v>0</v>
      </c>
    </row>
    <row r="112" spans="1:20" ht="15">
      <c r="A112" s="415">
        <v>106</v>
      </c>
      <c r="B112" s="415">
        <v>169</v>
      </c>
      <c r="C112" s="66" t="s">
        <v>2411</v>
      </c>
      <c r="D112" s="66" t="s">
        <v>356</v>
      </c>
      <c r="E112" s="413" t="s">
        <v>2102</v>
      </c>
      <c r="F112" s="594">
        <v>3.1300000000000001E-2</v>
      </c>
      <c r="G112" s="594">
        <v>0.1842</v>
      </c>
      <c r="H112" s="594">
        <v>0.19439999999999999</v>
      </c>
      <c r="J112" s="195"/>
      <c r="K112" s="232"/>
      <c r="M112" t="s">
        <v>1196</v>
      </c>
      <c r="N112" t="s">
        <v>356</v>
      </c>
      <c r="O112" t="s">
        <v>1443</v>
      </c>
      <c r="P112" s="608">
        <v>3.1300000000000001E-2</v>
      </c>
      <c r="Q112" s="608">
        <v>0.1842</v>
      </c>
      <c r="S112" s="200">
        <f t="shared" si="2"/>
        <v>0</v>
      </c>
      <c r="T112" s="200">
        <f t="shared" si="3"/>
        <v>0</v>
      </c>
    </row>
    <row r="113" spans="1:20" ht="15">
      <c r="A113" s="415">
        <v>107</v>
      </c>
      <c r="B113" s="415">
        <v>323</v>
      </c>
      <c r="C113" s="66" t="s">
        <v>2411</v>
      </c>
      <c r="D113" s="66" t="s">
        <v>358</v>
      </c>
      <c r="E113" s="413" t="s">
        <v>2103</v>
      </c>
      <c r="F113" s="594">
        <v>9.3600000000000003E-2</v>
      </c>
      <c r="G113" s="594">
        <v>0.19209999999999999</v>
      </c>
      <c r="H113" s="594">
        <v>0.22819999999999999</v>
      </c>
      <c r="J113" s="195"/>
      <c r="K113" s="232"/>
      <c r="M113" t="s">
        <v>359</v>
      </c>
      <c r="N113" t="s">
        <v>358</v>
      </c>
      <c r="O113" t="s">
        <v>1396</v>
      </c>
      <c r="P113" s="608">
        <v>9.3600000000000003E-2</v>
      </c>
      <c r="Q113" s="608">
        <v>0.19209999999999999</v>
      </c>
      <c r="S113" s="200">
        <f t="shared" si="2"/>
        <v>0</v>
      </c>
      <c r="T113" s="200">
        <f t="shared" si="3"/>
        <v>0</v>
      </c>
    </row>
    <row r="114" spans="1:20" ht="15">
      <c r="A114" s="415">
        <v>108</v>
      </c>
      <c r="B114" s="415">
        <v>101</v>
      </c>
      <c r="C114" s="66" t="s">
        <v>2411</v>
      </c>
      <c r="D114" s="66" t="s">
        <v>97</v>
      </c>
      <c r="E114" s="413" t="s">
        <v>2104</v>
      </c>
      <c r="F114" s="594">
        <v>3.32E-2</v>
      </c>
      <c r="G114" s="594">
        <v>0.13539999999999999</v>
      </c>
      <c r="H114" s="594">
        <v>0.14349999999999999</v>
      </c>
      <c r="J114" s="195"/>
      <c r="K114" s="232"/>
      <c r="M114" t="s">
        <v>360</v>
      </c>
      <c r="N114" t="s">
        <v>97</v>
      </c>
      <c r="O114" t="s">
        <v>1205</v>
      </c>
      <c r="P114" s="608">
        <v>3.32E-2</v>
      </c>
      <c r="Q114" s="608">
        <v>0.13539999999999999</v>
      </c>
      <c r="S114" s="200">
        <f t="shared" si="2"/>
        <v>0</v>
      </c>
      <c r="T114" s="200">
        <f t="shared" si="3"/>
        <v>0</v>
      </c>
    </row>
    <row r="115" spans="1:20" ht="15">
      <c r="A115" s="415">
        <v>109</v>
      </c>
      <c r="B115" s="415">
        <v>30</v>
      </c>
      <c r="C115" s="66" t="s">
        <v>2411</v>
      </c>
      <c r="D115" s="66" t="s">
        <v>361</v>
      </c>
      <c r="E115" s="413" t="s">
        <v>2105</v>
      </c>
      <c r="F115" s="594">
        <v>4.4000000000000003E-3</v>
      </c>
      <c r="G115" s="594">
        <v>0.1643</v>
      </c>
      <c r="H115" s="594">
        <v>0.17080000000000001</v>
      </c>
      <c r="J115" s="195"/>
      <c r="K115" s="232"/>
      <c r="M115" t="s">
        <v>362</v>
      </c>
      <c r="N115" t="s">
        <v>361</v>
      </c>
      <c r="O115" t="s">
        <v>1433</v>
      </c>
      <c r="P115" s="608">
        <v>4.4000000000000003E-3</v>
      </c>
      <c r="Q115" s="608">
        <v>0.1643</v>
      </c>
      <c r="S115" s="200">
        <f t="shared" si="2"/>
        <v>0</v>
      </c>
      <c r="T115" s="200">
        <f t="shared" si="3"/>
        <v>0</v>
      </c>
    </row>
    <row r="116" spans="1:20" ht="15">
      <c r="A116" s="415">
        <v>110</v>
      </c>
      <c r="B116" s="415">
        <v>177</v>
      </c>
      <c r="C116" s="66" t="s">
        <v>2411</v>
      </c>
      <c r="D116" s="66" t="s">
        <v>363</v>
      </c>
      <c r="E116" s="413" t="s">
        <v>2106</v>
      </c>
      <c r="F116" s="594">
        <v>3.7900000000000003E-2</v>
      </c>
      <c r="G116" s="594">
        <v>0.1578</v>
      </c>
      <c r="H116" s="594">
        <v>0.14829999999999999</v>
      </c>
      <c r="J116" s="195"/>
      <c r="K116" s="232"/>
      <c r="M116" t="s">
        <v>1135</v>
      </c>
      <c r="N116" t="s">
        <v>363</v>
      </c>
      <c r="O116" t="s">
        <v>1410</v>
      </c>
      <c r="P116" s="608">
        <v>3.7900000000000003E-2</v>
      </c>
      <c r="Q116" s="608">
        <v>0.1578</v>
      </c>
      <c r="S116" s="200">
        <f t="shared" si="2"/>
        <v>0</v>
      </c>
      <c r="T116" s="200">
        <f t="shared" si="3"/>
        <v>0</v>
      </c>
    </row>
    <row r="117" spans="1:20" ht="15">
      <c r="A117" s="415">
        <v>111</v>
      </c>
      <c r="B117" s="415">
        <v>77</v>
      </c>
      <c r="C117" s="66" t="s">
        <v>2411</v>
      </c>
      <c r="D117" s="66" t="s">
        <v>364</v>
      </c>
      <c r="E117" s="413" t="s">
        <v>2107</v>
      </c>
      <c r="F117" s="594">
        <v>1.6799999999999999E-2</v>
      </c>
      <c r="G117" s="594">
        <v>0.1489</v>
      </c>
      <c r="H117" s="594">
        <v>0.19270000000000001</v>
      </c>
      <c r="J117" s="195"/>
      <c r="K117" s="232"/>
      <c r="M117" t="s">
        <v>365</v>
      </c>
      <c r="N117" t="s">
        <v>364</v>
      </c>
      <c r="O117" t="s">
        <v>1292</v>
      </c>
      <c r="P117" s="608">
        <v>1.6799999999999999E-2</v>
      </c>
      <c r="Q117" s="608">
        <v>0.1489</v>
      </c>
      <c r="S117" s="200">
        <f t="shared" si="2"/>
        <v>0</v>
      </c>
      <c r="T117" s="200">
        <f t="shared" si="3"/>
        <v>0</v>
      </c>
    </row>
    <row r="118" spans="1:20" ht="15">
      <c r="A118" s="415">
        <v>112</v>
      </c>
      <c r="B118" s="415">
        <v>125</v>
      </c>
      <c r="C118" s="66" t="s">
        <v>2411</v>
      </c>
      <c r="D118" s="66" t="s">
        <v>366</v>
      </c>
      <c r="E118" s="413" t="s">
        <v>2108</v>
      </c>
      <c r="F118" s="594">
        <v>2.93E-2</v>
      </c>
      <c r="G118" s="594">
        <v>0.12939999999999999</v>
      </c>
      <c r="H118" s="594">
        <v>0.1303</v>
      </c>
      <c r="J118" s="195"/>
      <c r="K118" s="232"/>
      <c r="M118" t="s">
        <v>367</v>
      </c>
      <c r="N118" t="s">
        <v>366</v>
      </c>
      <c r="O118" t="s">
        <v>1406</v>
      </c>
      <c r="P118" s="608">
        <v>2.93E-2</v>
      </c>
      <c r="Q118" s="608">
        <v>0.12939999999999999</v>
      </c>
      <c r="S118" s="200">
        <f t="shared" si="2"/>
        <v>0</v>
      </c>
      <c r="T118" s="200">
        <f t="shared" si="3"/>
        <v>0</v>
      </c>
    </row>
    <row r="119" spans="1:20" ht="15">
      <c r="A119" s="415">
        <v>113</v>
      </c>
      <c r="B119" s="415">
        <v>122</v>
      </c>
      <c r="C119" s="66" t="s">
        <v>2411</v>
      </c>
      <c r="D119" s="66" t="s">
        <v>368</v>
      </c>
      <c r="E119" s="413" t="s">
        <v>2109</v>
      </c>
      <c r="F119" s="594">
        <v>2.5399999999999999E-2</v>
      </c>
      <c r="G119" s="594">
        <v>0.1197</v>
      </c>
      <c r="H119" s="594">
        <v>0.1079</v>
      </c>
      <c r="J119" s="195"/>
      <c r="K119" s="232"/>
      <c r="M119" t="s">
        <v>369</v>
      </c>
      <c r="N119" t="s">
        <v>368</v>
      </c>
      <c r="O119" t="s">
        <v>1305</v>
      </c>
      <c r="P119" s="608">
        <v>2.5399999999999999E-2</v>
      </c>
      <c r="Q119" s="608">
        <v>0.1197</v>
      </c>
      <c r="S119" s="200">
        <f t="shared" si="2"/>
        <v>0</v>
      </c>
      <c r="T119" s="200">
        <f t="shared" si="3"/>
        <v>0</v>
      </c>
    </row>
    <row r="120" spans="1:20" ht="15">
      <c r="A120" s="415">
        <v>114</v>
      </c>
      <c r="B120" s="415">
        <v>123</v>
      </c>
      <c r="C120" s="66" t="s">
        <v>2411</v>
      </c>
      <c r="D120" s="66" t="s">
        <v>370</v>
      </c>
      <c r="E120" s="413" t="s">
        <v>2110</v>
      </c>
      <c r="F120" s="594">
        <v>3.85E-2</v>
      </c>
      <c r="G120" s="594">
        <v>0.1406</v>
      </c>
      <c r="H120" s="594">
        <v>0.12239999999999999</v>
      </c>
      <c r="J120" s="195"/>
      <c r="K120" s="232"/>
      <c r="M120" t="s">
        <v>371</v>
      </c>
      <c r="N120" t="s">
        <v>370</v>
      </c>
      <c r="O120" t="s">
        <v>1298</v>
      </c>
      <c r="P120" s="608">
        <v>3.85E-2</v>
      </c>
      <c r="Q120" s="608">
        <v>0.1406</v>
      </c>
      <c r="S120" s="200">
        <f t="shared" si="2"/>
        <v>0</v>
      </c>
      <c r="T120" s="200">
        <f t="shared" si="3"/>
        <v>0</v>
      </c>
    </row>
    <row r="121" spans="1:20" ht="15">
      <c r="A121" s="415">
        <v>115</v>
      </c>
      <c r="B121" s="415">
        <v>212</v>
      </c>
      <c r="C121" s="66" t="s">
        <v>2411</v>
      </c>
      <c r="D121" s="66" t="s">
        <v>372</v>
      </c>
      <c r="E121" s="413" t="s">
        <v>2111</v>
      </c>
      <c r="F121" s="594">
        <v>3.27E-2</v>
      </c>
      <c r="G121" s="594">
        <v>0.12570000000000001</v>
      </c>
      <c r="H121" s="594">
        <v>0.12139999999999999</v>
      </c>
      <c r="J121" s="195"/>
      <c r="K121" s="232"/>
      <c r="M121" t="s">
        <v>373</v>
      </c>
      <c r="N121" t="s">
        <v>372</v>
      </c>
      <c r="O121" t="s">
        <v>1348</v>
      </c>
      <c r="P121" s="608">
        <v>3.27E-2</v>
      </c>
      <c r="Q121" s="608">
        <v>0.12570000000000001</v>
      </c>
      <c r="S121" s="200">
        <f t="shared" si="2"/>
        <v>0</v>
      </c>
      <c r="T121" s="200">
        <f t="shared" si="3"/>
        <v>0</v>
      </c>
    </row>
    <row r="122" spans="1:20" ht="15">
      <c r="A122" s="415">
        <v>116</v>
      </c>
      <c r="B122" s="415">
        <v>58</v>
      </c>
      <c r="C122" s="66"/>
      <c r="D122" s="418" t="s">
        <v>763</v>
      </c>
      <c r="E122" s="417" t="s">
        <v>1602</v>
      </c>
      <c r="F122" s="420">
        <v>0</v>
      </c>
      <c r="G122" s="473">
        <v>0.11</v>
      </c>
      <c r="H122" s="420">
        <v>0</v>
      </c>
      <c r="J122" s="195"/>
      <c r="K122" s="232"/>
      <c r="M122" t="s">
        <v>1602</v>
      </c>
      <c r="N122" t="s">
        <v>763</v>
      </c>
      <c r="O122" t="s">
        <v>2449</v>
      </c>
      <c r="P122" s="608"/>
      <c r="Q122" s="608">
        <v>0.11</v>
      </c>
      <c r="S122" s="200">
        <f t="shared" si="2"/>
        <v>0</v>
      </c>
      <c r="T122" s="200">
        <f t="shared" si="3"/>
        <v>0</v>
      </c>
    </row>
    <row r="123" spans="1:20" ht="15">
      <c r="A123" s="415">
        <v>117</v>
      </c>
      <c r="B123" s="415">
        <v>236</v>
      </c>
      <c r="C123" s="66" t="s">
        <v>2405</v>
      </c>
      <c r="D123" s="66" t="s">
        <v>1427</v>
      </c>
      <c r="E123" s="413" t="s">
        <v>1494</v>
      </c>
      <c r="F123" s="594">
        <v>0.15129999999999999</v>
      </c>
      <c r="G123" s="594">
        <v>0.28889999999999999</v>
      </c>
      <c r="H123" s="594">
        <v>0.24990000000000001</v>
      </c>
      <c r="J123" s="195"/>
      <c r="K123" s="232"/>
      <c r="M123" t="s">
        <v>1596</v>
      </c>
      <c r="N123" t="s">
        <v>1427</v>
      </c>
      <c r="O123" t="s">
        <v>2483</v>
      </c>
      <c r="P123" s="608">
        <v>0.15129999999999999</v>
      </c>
      <c r="Q123" s="608">
        <v>0.28889999999999999</v>
      </c>
      <c r="S123" s="200">
        <f t="shared" si="2"/>
        <v>0</v>
      </c>
      <c r="T123" s="200">
        <f t="shared" si="3"/>
        <v>0</v>
      </c>
    </row>
    <row r="124" spans="1:20" ht="15">
      <c r="A124" s="415">
        <v>217</v>
      </c>
      <c r="B124" s="415">
        <v>261</v>
      </c>
      <c r="C124" s="66" t="s">
        <v>2405</v>
      </c>
      <c r="D124" s="66" t="s">
        <v>1176</v>
      </c>
      <c r="E124" s="413" t="s">
        <v>2313</v>
      </c>
      <c r="F124" s="595">
        <v>3.8699999999999998E-2</v>
      </c>
      <c r="G124" s="595">
        <v>0.1535</v>
      </c>
      <c r="H124" s="595">
        <v>0.1535</v>
      </c>
      <c r="J124" s="195"/>
      <c r="K124" s="232"/>
      <c r="M124" t="s">
        <v>1636</v>
      </c>
      <c r="N124" t="s">
        <v>1176</v>
      </c>
      <c r="O124" t="s">
        <v>2463</v>
      </c>
      <c r="P124" s="608">
        <v>3.8699999999999998E-2</v>
      </c>
      <c r="Q124" s="608">
        <v>0.1535</v>
      </c>
      <c r="S124" s="200">
        <f t="shared" si="2"/>
        <v>0</v>
      </c>
      <c r="T124" s="200">
        <f t="shared" si="3"/>
        <v>0</v>
      </c>
    </row>
    <row r="125" spans="1:20" ht="15">
      <c r="A125" s="415">
        <v>118</v>
      </c>
      <c r="B125" s="415">
        <v>111</v>
      </c>
      <c r="C125" s="66" t="s">
        <v>2405</v>
      </c>
      <c r="D125" s="66" t="s">
        <v>1476</v>
      </c>
      <c r="E125" s="413" t="s">
        <v>2112</v>
      </c>
      <c r="F125" s="594">
        <v>0.18190000000000001</v>
      </c>
      <c r="G125" s="594">
        <v>0.27289999999999998</v>
      </c>
      <c r="H125" s="594">
        <v>0.23710000000000001</v>
      </c>
      <c r="J125" s="195"/>
      <c r="K125" s="232"/>
      <c r="M125" t="s">
        <v>1479</v>
      </c>
      <c r="N125" t="s">
        <v>1476</v>
      </c>
      <c r="O125" t="s">
        <v>2481</v>
      </c>
      <c r="P125" s="608">
        <v>0.18190000000000001</v>
      </c>
      <c r="Q125" s="608">
        <v>0.27289999999999998</v>
      </c>
      <c r="S125" s="200">
        <f t="shared" si="2"/>
        <v>0</v>
      </c>
      <c r="T125" s="200">
        <f t="shared" si="3"/>
        <v>0</v>
      </c>
    </row>
    <row r="126" spans="1:20" ht="15">
      <c r="A126" s="415">
        <v>119</v>
      </c>
      <c r="B126" s="415">
        <v>63</v>
      </c>
      <c r="C126" s="66" t="s">
        <v>2405</v>
      </c>
      <c r="D126" s="66" t="s">
        <v>1388</v>
      </c>
      <c r="E126" s="413" t="s">
        <v>1495</v>
      </c>
      <c r="F126" s="594">
        <v>0</v>
      </c>
      <c r="G126" s="594">
        <v>0.18870000000000001</v>
      </c>
      <c r="H126" s="594">
        <v>0</v>
      </c>
      <c r="J126" s="195"/>
      <c r="K126" s="232"/>
      <c r="M126" t="s">
        <v>1593</v>
      </c>
      <c r="N126" t="s">
        <v>1388</v>
      </c>
      <c r="O126" t="s">
        <v>2470</v>
      </c>
      <c r="P126" s="608"/>
      <c r="Q126" s="608">
        <v>0.18870000000000001</v>
      </c>
      <c r="S126" s="200">
        <f t="shared" si="2"/>
        <v>0</v>
      </c>
      <c r="T126" s="200">
        <f t="shared" si="3"/>
        <v>0</v>
      </c>
    </row>
    <row r="127" spans="1:20" ht="15">
      <c r="A127" s="415">
        <v>120</v>
      </c>
      <c r="B127" s="415">
        <v>46</v>
      </c>
      <c r="C127" s="66" t="s">
        <v>2405</v>
      </c>
      <c r="D127" s="66" t="s">
        <v>1477</v>
      </c>
      <c r="E127" s="413" t="s">
        <v>2427</v>
      </c>
      <c r="F127" s="594">
        <v>0.17130000000000001</v>
      </c>
      <c r="G127" s="594">
        <v>0.66310000000000002</v>
      </c>
      <c r="H127" s="594">
        <v>0.54249999999999998</v>
      </c>
      <c r="J127" s="195"/>
      <c r="K127" s="232"/>
      <c r="M127" t="s">
        <v>1588</v>
      </c>
      <c r="N127" t="s">
        <v>1477</v>
      </c>
      <c r="O127" t="s">
        <v>2471</v>
      </c>
      <c r="P127" s="608">
        <v>0.17130000000000001</v>
      </c>
      <c r="Q127" s="608">
        <v>0.66310000000000002</v>
      </c>
      <c r="S127" s="200">
        <f t="shared" si="2"/>
        <v>0</v>
      </c>
      <c r="T127" s="200">
        <f t="shared" si="3"/>
        <v>0</v>
      </c>
    </row>
    <row r="128" spans="1:20" ht="15">
      <c r="A128" s="415">
        <v>121</v>
      </c>
      <c r="B128" s="415">
        <v>55</v>
      </c>
      <c r="C128" s="66" t="s">
        <v>2405</v>
      </c>
      <c r="D128" s="66" t="s">
        <v>1509</v>
      </c>
      <c r="E128" s="413" t="s">
        <v>2425</v>
      </c>
      <c r="F128" s="594">
        <v>0.17219999999999999</v>
      </c>
      <c r="G128" s="594">
        <v>0.31830000000000003</v>
      </c>
      <c r="H128" s="594">
        <v>0.35199999999999998</v>
      </c>
      <c r="J128" s="195"/>
      <c r="K128" s="232"/>
      <c r="M128" t="s">
        <v>1589</v>
      </c>
      <c r="N128" t="s">
        <v>1509</v>
      </c>
      <c r="O128" t="s">
        <v>2453</v>
      </c>
      <c r="P128" s="608">
        <v>0.17219999999999999</v>
      </c>
      <c r="Q128" s="608">
        <v>0.31830000000000003</v>
      </c>
      <c r="S128" s="200">
        <f t="shared" si="2"/>
        <v>0</v>
      </c>
      <c r="T128" s="200">
        <f t="shared" si="3"/>
        <v>0</v>
      </c>
    </row>
    <row r="129" spans="1:20" ht="15">
      <c r="A129" s="415">
        <v>122</v>
      </c>
      <c r="B129" s="415">
        <v>48</v>
      </c>
      <c r="C129" s="66" t="s">
        <v>2405</v>
      </c>
      <c r="D129" s="66" t="s">
        <v>1576</v>
      </c>
      <c r="E129" s="413" t="s">
        <v>2113</v>
      </c>
      <c r="F129" s="595">
        <v>3.8699999999999998E-2</v>
      </c>
      <c r="G129" s="595">
        <v>0.1535</v>
      </c>
      <c r="H129" s="595">
        <v>0.1535</v>
      </c>
      <c r="J129" s="195"/>
      <c r="K129" s="232"/>
      <c r="M129" t="s">
        <v>1590</v>
      </c>
      <c r="N129" t="s">
        <v>1576</v>
      </c>
      <c r="O129" t="s">
        <v>2454</v>
      </c>
      <c r="P129" s="608">
        <v>3.8699999999999998E-2</v>
      </c>
      <c r="Q129" s="608">
        <v>0.1535</v>
      </c>
      <c r="S129" s="200">
        <f t="shared" si="2"/>
        <v>0</v>
      </c>
      <c r="T129" s="200">
        <f t="shared" si="3"/>
        <v>0</v>
      </c>
    </row>
    <row r="130" spans="1:20" ht="15">
      <c r="A130" s="415">
        <v>123</v>
      </c>
      <c r="B130" s="415">
        <v>8</v>
      </c>
      <c r="C130" s="66" t="s">
        <v>2405</v>
      </c>
      <c r="D130" s="66" t="s">
        <v>1643</v>
      </c>
      <c r="E130" s="413" t="s">
        <v>2114</v>
      </c>
      <c r="F130" s="595">
        <v>3.8699999999999998E-2</v>
      </c>
      <c r="G130" s="595">
        <v>0.1535</v>
      </c>
      <c r="H130" s="595">
        <v>0.1535</v>
      </c>
      <c r="J130" s="195"/>
      <c r="K130" s="232"/>
      <c r="M130" t="s">
        <v>1644</v>
      </c>
      <c r="N130" t="s">
        <v>1643</v>
      </c>
      <c r="O130" t="s">
        <v>1653</v>
      </c>
      <c r="P130" s="608">
        <v>3.8699999999999998E-2</v>
      </c>
      <c r="Q130" s="608">
        <v>0.1535</v>
      </c>
      <c r="S130" s="200">
        <f t="shared" si="2"/>
        <v>0</v>
      </c>
      <c r="T130" s="200">
        <f t="shared" si="3"/>
        <v>0</v>
      </c>
    </row>
    <row r="131" spans="1:20" ht="15">
      <c r="A131" s="415">
        <v>124</v>
      </c>
      <c r="B131" s="415">
        <v>114</v>
      </c>
      <c r="C131" s="66" t="s">
        <v>2405</v>
      </c>
      <c r="D131" s="66" t="s">
        <v>2303</v>
      </c>
      <c r="E131" s="413" t="s">
        <v>2424</v>
      </c>
      <c r="F131" s="595">
        <v>3.8699999999999998E-2</v>
      </c>
      <c r="G131" s="595">
        <v>0.1535</v>
      </c>
      <c r="H131" s="595">
        <v>0.1535</v>
      </c>
      <c r="J131" s="195"/>
      <c r="K131" s="232"/>
      <c r="M131" t="s">
        <v>2302</v>
      </c>
      <c r="N131" t="s">
        <v>2303</v>
      </c>
      <c r="O131" t="s">
        <v>2332</v>
      </c>
      <c r="P131" s="608">
        <v>3.8699999999999998E-2</v>
      </c>
      <c r="Q131" s="608">
        <v>0.1535</v>
      </c>
      <c r="S131" s="200">
        <f t="shared" si="2"/>
        <v>0</v>
      </c>
      <c r="T131" s="200">
        <f t="shared" si="3"/>
        <v>0</v>
      </c>
    </row>
    <row r="132" spans="1:20" ht="15">
      <c r="A132" s="415">
        <v>125</v>
      </c>
      <c r="B132" s="415">
        <v>273</v>
      </c>
      <c r="C132" s="66" t="s">
        <v>2406</v>
      </c>
      <c r="D132" s="66" t="s">
        <v>374</v>
      </c>
      <c r="E132" s="413" t="s">
        <v>2115</v>
      </c>
      <c r="F132" s="594">
        <v>4.5600000000000002E-2</v>
      </c>
      <c r="G132" s="594">
        <v>0.1628</v>
      </c>
      <c r="H132" s="594">
        <v>0.1542</v>
      </c>
      <c r="J132" s="195"/>
      <c r="K132" s="232"/>
      <c r="M132" t="s">
        <v>375</v>
      </c>
      <c r="N132" t="s">
        <v>374</v>
      </c>
      <c r="O132" t="s">
        <v>1214</v>
      </c>
      <c r="P132" s="608">
        <v>4.5600000000000002E-2</v>
      </c>
      <c r="Q132" s="608">
        <v>0.1628</v>
      </c>
      <c r="S132" s="200">
        <f t="shared" si="2"/>
        <v>0</v>
      </c>
      <c r="T132" s="200">
        <f t="shared" si="3"/>
        <v>0</v>
      </c>
    </row>
    <row r="133" spans="1:20" ht="15">
      <c r="A133" s="415">
        <v>126</v>
      </c>
      <c r="B133" s="415">
        <v>10</v>
      </c>
      <c r="C133" s="66" t="s">
        <v>2411</v>
      </c>
      <c r="D133" s="66" t="s">
        <v>376</v>
      </c>
      <c r="E133" s="413" t="s">
        <v>2116</v>
      </c>
      <c r="F133" s="594">
        <v>1.9599999999999999E-2</v>
      </c>
      <c r="G133" s="594">
        <v>0.19359999999999999</v>
      </c>
      <c r="H133" s="594">
        <v>0.17280000000000001</v>
      </c>
      <c r="J133" s="195"/>
      <c r="K133" s="232"/>
      <c r="M133" t="s">
        <v>377</v>
      </c>
      <c r="N133" t="s">
        <v>376</v>
      </c>
      <c r="O133" t="s">
        <v>2440</v>
      </c>
      <c r="P133" s="608">
        <v>1.9599999999999999E-2</v>
      </c>
      <c r="Q133" s="608">
        <v>0.19359999999999999</v>
      </c>
      <c r="S133" s="200">
        <f t="shared" si="2"/>
        <v>0</v>
      </c>
      <c r="T133" s="200">
        <f t="shared" si="3"/>
        <v>0</v>
      </c>
    </row>
    <row r="134" spans="1:20" ht="15">
      <c r="A134" s="415">
        <v>127</v>
      </c>
      <c r="B134" s="415">
        <v>138</v>
      </c>
      <c r="C134" s="66" t="s">
        <v>2406</v>
      </c>
      <c r="D134" s="66" t="s">
        <v>378</v>
      </c>
      <c r="E134" s="413" t="s">
        <v>2117</v>
      </c>
      <c r="F134" s="594">
        <v>6.9000000000000006E-2</v>
      </c>
      <c r="G134" s="594">
        <v>0.2099</v>
      </c>
      <c r="H134" s="594">
        <v>0.23200000000000001</v>
      </c>
      <c r="J134" s="195"/>
      <c r="K134" s="232"/>
      <c r="M134" t="s">
        <v>379</v>
      </c>
      <c r="N134" t="s">
        <v>378</v>
      </c>
      <c r="O134" t="s">
        <v>1344</v>
      </c>
      <c r="P134" s="608">
        <v>6.9000000000000006E-2</v>
      </c>
      <c r="Q134" s="608">
        <v>0.2099</v>
      </c>
      <c r="S134" s="200">
        <f t="shared" si="2"/>
        <v>0</v>
      </c>
      <c r="T134" s="200">
        <f t="shared" si="3"/>
        <v>0</v>
      </c>
    </row>
    <row r="135" spans="1:20" ht="15">
      <c r="A135" s="415">
        <v>128</v>
      </c>
      <c r="B135" s="415">
        <v>145</v>
      </c>
      <c r="C135" s="66" t="s">
        <v>2406</v>
      </c>
      <c r="D135" s="66" t="s">
        <v>380</v>
      </c>
      <c r="E135" s="413" t="s">
        <v>2118</v>
      </c>
      <c r="F135" s="594">
        <v>3.6999999999999998E-2</v>
      </c>
      <c r="G135" s="594">
        <v>0.14330000000000001</v>
      </c>
      <c r="H135" s="594">
        <v>0.14480000000000001</v>
      </c>
      <c r="J135" s="195"/>
      <c r="K135" s="232"/>
      <c r="M135" t="s">
        <v>381</v>
      </c>
      <c r="N135" t="s">
        <v>380</v>
      </c>
      <c r="O135" t="s">
        <v>1225</v>
      </c>
      <c r="P135" s="608">
        <v>3.6999999999999998E-2</v>
      </c>
      <c r="Q135" s="608">
        <v>0.14330000000000001</v>
      </c>
      <c r="S135" s="200">
        <f t="shared" ref="S135:S198" si="4">+F135-P135</f>
        <v>0</v>
      </c>
      <c r="T135" s="200">
        <f t="shared" ref="T135:T198" si="5">+G135-Q135</f>
        <v>0</v>
      </c>
    </row>
    <row r="136" spans="1:20" ht="15">
      <c r="A136" s="415">
        <v>129</v>
      </c>
      <c r="B136" s="415">
        <v>222</v>
      </c>
      <c r="C136" s="66" t="s">
        <v>2406</v>
      </c>
      <c r="D136" s="66" t="s">
        <v>382</v>
      </c>
      <c r="E136" s="413" t="s">
        <v>2119</v>
      </c>
      <c r="F136" s="594">
        <v>3.4799999999999998E-2</v>
      </c>
      <c r="G136" s="594">
        <v>0.14829999999999999</v>
      </c>
      <c r="H136" s="594">
        <v>0.1547</v>
      </c>
      <c r="J136" s="195"/>
      <c r="K136" s="232"/>
      <c r="M136" t="s">
        <v>383</v>
      </c>
      <c r="N136" t="s">
        <v>382</v>
      </c>
      <c r="O136" t="s">
        <v>1413</v>
      </c>
      <c r="P136" s="608">
        <v>3.4799999999999998E-2</v>
      </c>
      <c r="Q136" s="608">
        <v>0.14829999999999999</v>
      </c>
      <c r="S136" s="200">
        <f t="shared" si="4"/>
        <v>0</v>
      </c>
      <c r="T136" s="200">
        <f t="shared" si="5"/>
        <v>0</v>
      </c>
    </row>
    <row r="137" spans="1:20" ht="15">
      <c r="A137" s="415">
        <v>130</v>
      </c>
      <c r="B137" s="415">
        <v>31</v>
      </c>
      <c r="C137" s="66"/>
      <c r="D137" s="418" t="s">
        <v>764</v>
      </c>
      <c r="E137" s="417" t="s">
        <v>1601</v>
      </c>
      <c r="F137" s="420">
        <v>0</v>
      </c>
      <c r="G137" s="473">
        <v>0.11</v>
      </c>
      <c r="H137" s="420">
        <v>0</v>
      </c>
      <c r="J137" s="195"/>
      <c r="K137" s="232"/>
      <c r="M137" t="s">
        <v>1601</v>
      </c>
      <c r="N137" t="s">
        <v>764</v>
      </c>
      <c r="O137" t="s">
        <v>2448</v>
      </c>
      <c r="P137" s="608"/>
      <c r="Q137" s="608">
        <v>0.11</v>
      </c>
      <c r="S137" s="200">
        <f t="shared" si="4"/>
        <v>0</v>
      </c>
      <c r="T137" s="200">
        <f t="shared" si="5"/>
        <v>0</v>
      </c>
    </row>
    <row r="138" spans="1:20" ht="15">
      <c r="A138" s="415">
        <v>131</v>
      </c>
      <c r="B138" s="415">
        <v>301</v>
      </c>
      <c r="C138" s="66" t="s">
        <v>2405</v>
      </c>
      <c r="D138" s="66" t="s">
        <v>1575</v>
      </c>
      <c r="E138" s="413" t="s">
        <v>2120</v>
      </c>
      <c r="F138" s="595">
        <v>3.8699999999999998E-2</v>
      </c>
      <c r="G138" s="595">
        <v>0.1535</v>
      </c>
      <c r="H138" s="595">
        <v>0.1535</v>
      </c>
      <c r="J138" s="195"/>
      <c r="K138" s="232"/>
      <c r="M138" t="s">
        <v>1579</v>
      </c>
      <c r="N138" t="s">
        <v>1575</v>
      </c>
      <c r="O138" t="s">
        <v>2442</v>
      </c>
      <c r="P138" s="608">
        <v>3.8699999999999998E-2</v>
      </c>
      <c r="Q138" s="608">
        <v>0.1535</v>
      </c>
      <c r="S138" s="200">
        <f t="shared" si="4"/>
        <v>0</v>
      </c>
      <c r="T138" s="200">
        <f t="shared" si="5"/>
        <v>0</v>
      </c>
    </row>
    <row r="139" spans="1:20" ht="15">
      <c r="A139" s="415">
        <v>132</v>
      </c>
      <c r="B139" s="415">
        <v>17</v>
      </c>
      <c r="C139" s="66" t="s">
        <v>2405</v>
      </c>
      <c r="D139" s="66" t="s">
        <v>1177</v>
      </c>
      <c r="E139" s="413" t="s">
        <v>2430</v>
      </c>
      <c r="F139" s="595">
        <v>3.8699999999999998E-2</v>
      </c>
      <c r="G139" s="595">
        <v>0.1535</v>
      </c>
      <c r="H139" s="595">
        <v>0.1535</v>
      </c>
      <c r="J139" s="195"/>
      <c r="K139" s="232"/>
      <c r="M139" t="s">
        <v>1641</v>
      </c>
      <c r="N139" t="s">
        <v>1177</v>
      </c>
      <c r="O139" t="s">
        <v>2484</v>
      </c>
      <c r="P139" s="608">
        <v>3.8699999999999998E-2</v>
      </c>
      <c r="Q139" s="608">
        <v>0.1535</v>
      </c>
      <c r="S139" s="200">
        <f t="shared" si="4"/>
        <v>0</v>
      </c>
      <c r="T139" s="200">
        <f t="shared" si="5"/>
        <v>0</v>
      </c>
    </row>
    <row r="140" spans="1:20" ht="15">
      <c r="A140" s="415">
        <v>133</v>
      </c>
      <c r="B140" s="415">
        <v>231</v>
      </c>
      <c r="C140" s="66" t="s">
        <v>2408</v>
      </c>
      <c r="D140" s="66" t="s">
        <v>384</v>
      </c>
      <c r="E140" s="413" t="s">
        <v>2314</v>
      </c>
      <c r="F140" s="594">
        <v>0.14360000000000001</v>
      </c>
      <c r="G140" s="594">
        <v>0.84219999999999995</v>
      </c>
      <c r="H140" s="594">
        <v>0.81359999999999999</v>
      </c>
      <c r="J140" s="195"/>
      <c r="K140" s="232"/>
      <c r="M140" t="s">
        <v>385</v>
      </c>
      <c r="N140" t="s">
        <v>384</v>
      </c>
      <c r="O140" t="s">
        <v>1248</v>
      </c>
      <c r="P140" s="608">
        <v>0.14360000000000001</v>
      </c>
      <c r="Q140" s="608">
        <v>0.84219999999999995</v>
      </c>
      <c r="S140" s="200">
        <f t="shared" si="4"/>
        <v>0</v>
      </c>
      <c r="T140" s="200">
        <f t="shared" si="5"/>
        <v>0</v>
      </c>
    </row>
    <row r="141" spans="1:20" ht="15">
      <c r="A141" s="415">
        <v>134</v>
      </c>
      <c r="B141" s="415">
        <v>113</v>
      </c>
      <c r="C141" s="66" t="s">
        <v>2408</v>
      </c>
      <c r="D141" s="66" t="s">
        <v>386</v>
      </c>
      <c r="E141" s="413" t="s">
        <v>2121</v>
      </c>
      <c r="F141" s="594">
        <v>0.1</v>
      </c>
      <c r="G141" s="594">
        <v>0.41470000000000001</v>
      </c>
      <c r="H141" s="594">
        <v>0.34360000000000002</v>
      </c>
      <c r="J141" s="195"/>
      <c r="K141" s="232"/>
      <c r="M141" t="s">
        <v>387</v>
      </c>
      <c r="N141" t="s">
        <v>386</v>
      </c>
      <c r="O141" t="s">
        <v>1256</v>
      </c>
      <c r="P141" s="608">
        <v>0.1</v>
      </c>
      <c r="Q141" s="608">
        <v>0.41470000000000001</v>
      </c>
      <c r="S141" s="200">
        <f t="shared" si="4"/>
        <v>0</v>
      </c>
      <c r="T141" s="200">
        <f t="shared" si="5"/>
        <v>0</v>
      </c>
    </row>
    <row r="142" spans="1:20" ht="15">
      <c r="A142" s="415">
        <v>135</v>
      </c>
      <c r="B142" s="415">
        <v>239</v>
      </c>
      <c r="C142" s="66" t="s">
        <v>2408</v>
      </c>
      <c r="D142" s="66" t="s">
        <v>388</v>
      </c>
      <c r="E142" s="413" t="s">
        <v>2122</v>
      </c>
      <c r="F142" s="594">
        <v>7.8600000000000003E-2</v>
      </c>
      <c r="G142" s="594">
        <v>0.29499999999999998</v>
      </c>
      <c r="H142" s="594">
        <v>0.27650000000000002</v>
      </c>
      <c r="J142" s="195"/>
      <c r="K142" s="232"/>
      <c r="M142" t="s">
        <v>389</v>
      </c>
      <c r="N142" t="s">
        <v>388</v>
      </c>
      <c r="O142" t="s">
        <v>1436</v>
      </c>
      <c r="P142" s="608">
        <v>7.8600000000000003E-2</v>
      </c>
      <c r="Q142" s="608">
        <v>0.29499999999999998</v>
      </c>
      <c r="S142" s="200">
        <f t="shared" si="4"/>
        <v>0</v>
      </c>
      <c r="T142" s="200">
        <f t="shared" si="5"/>
        <v>0</v>
      </c>
    </row>
    <row r="143" spans="1:20" ht="15">
      <c r="A143" s="415">
        <v>136</v>
      </c>
      <c r="B143" s="415">
        <v>302</v>
      </c>
      <c r="C143" s="66" t="s">
        <v>2408</v>
      </c>
      <c r="D143" s="66" t="s">
        <v>390</v>
      </c>
      <c r="E143" s="413" t="s">
        <v>2123</v>
      </c>
      <c r="F143" s="594">
        <v>4.1399999999999999E-2</v>
      </c>
      <c r="G143" s="594">
        <v>0.1613</v>
      </c>
      <c r="H143" s="594">
        <v>0.1681</v>
      </c>
      <c r="J143" s="195"/>
      <c r="K143" s="232"/>
      <c r="M143" t="s">
        <v>391</v>
      </c>
      <c r="N143" t="s">
        <v>390</v>
      </c>
      <c r="O143" t="s">
        <v>1259</v>
      </c>
      <c r="P143" s="608">
        <v>4.1399999999999999E-2</v>
      </c>
      <c r="Q143" s="608">
        <v>0.1613</v>
      </c>
      <c r="S143" s="200">
        <f t="shared" si="4"/>
        <v>0</v>
      </c>
      <c r="T143" s="200">
        <f t="shared" si="5"/>
        <v>0</v>
      </c>
    </row>
    <row r="144" spans="1:20" ht="15">
      <c r="A144" s="415">
        <v>137</v>
      </c>
      <c r="B144" s="415">
        <v>254</v>
      </c>
      <c r="C144" s="66" t="s">
        <v>2408</v>
      </c>
      <c r="D144" s="66" t="s">
        <v>392</v>
      </c>
      <c r="E144" s="413" t="s">
        <v>2124</v>
      </c>
      <c r="F144" s="594">
        <v>7.9799999999999996E-2</v>
      </c>
      <c r="G144" s="594">
        <v>0.39800000000000002</v>
      </c>
      <c r="H144" s="594">
        <v>0.54579999999999995</v>
      </c>
      <c r="J144" s="195"/>
      <c r="K144" s="232"/>
      <c r="M144" t="s">
        <v>393</v>
      </c>
      <c r="N144" t="s">
        <v>392</v>
      </c>
      <c r="O144" t="s">
        <v>1300</v>
      </c>
      <c r="P144" s="608">
        <v>7.9799999999999996E-2</v>
      </c>
      <c r="Q144" s="608">
        <v>0.39800000000000002</v>
      </c>
      <c r="S144" s="200">
        <f t="shared" si="4"/>
        <v>0</v>
      </c>
      <c r="T144" s="200">
        <f t="shared" si="5"/>
        <v>0</v>
      </c>
    </row>
    <row r="145" spans="1:20" ht="15">
      <c r="A145" s="415">
        <v>138</v>
      </c>
      <c r="B145" s="415">
        <v>4</v>
      </c>
      <c r="C145" s="66" t="s">
        <v>2408</v>
      </c>
      <c r="D145" s="66" t="s">
        <v>394</v>
      </c>
      <c r="E145" s="413" t="s">
        <v>2125</v>
      </c>
      <c r="F145" s="594">
        <v>7.8E-2</v>
      </c>
      <c r="G145" s="594">
        <v>0.21779999999999999</v>
      </c>
      <c r="H145" s="594">
        <v>0.25629999999999997</v>
      </c>
      <c r="J145" s="195"/>
      <c r="K145" s="232"/>
      <c r="M145" t="s">
        <v>395</v>
      </c>
      <c r="N145" t="s">
        <v>394</v>
      </c>
      <c r="O145" t="s">
        <v>1233</v>
      </c>
      <c r="P145" s="608">
        <v>7.8E-2</v>
      </c>
      <c r="Q145" s="608">
        <v>0.21779999999999999</v>
      </c>
      <c r="S145" s="200">
        <f t="shared" si="4"/>
        <v>0</v>
      </c>
      <c r="T145" s="200">
        <f t="shared" si="5"/>
        <v>0</v>
      </c>
    </row>
    <row r="146" spans="1:20" ht="15">
      <c r="A146" s="415">
        <v>139</v>
      </c>
      <c r="B146" s="415">
        <v>43</v>
      </c>
      <c r="C146" s="66" t="s">
        <v>2407</v>
      </c>
      <c r="D146" s="66" t="s">
        <v>396</v>
      </c>
      <c r="E146" s="413" t="s">
        <v>2126</v>
      </c>
      <c r="F146" s="594">
        <v>9.6600000000000005E-2</v>
      </c>
      <c r="G146" s="594">
        <v>0.2898</v>
      </c>
      <c r="H146" s="594">
        <v>0.22339999999999999</v>
      </c>
      <c r="J146" s="195"/>
      <c r="K146" s="232"/>
      <c r="M146" t="s">
        <v>397</v>
      </c>
      <c r="N146" t="s">
        <v>396</v>
      </c>
      <c r="O146" t="s">
        <v>1467</v>
      </c>
      <c r="P146" s="608">
        <v>9.6600000000000005E-2</v>
      </c>
      <c r="Q146" s="608">
        <v>0.2898</v>
      </c>
      <c r="S146" s="200">
        <f t="shared" si="4"/>
        <v>0</v>
      </c>
      <c r="T146" s="200">
        <f t="shared" si="5"/>
        <v>0</v>
      </c>
    </row>
    <row r="147" spans="1:20" ht="15">
      <c r="A147" s="415">
        <v>140</v>
      </c>
      <c r="B147" s="415">
        <v>267</v>
      </c>
      <c r="C147" s="66" t="s">
        <v>2408</v>
      </c>
      <c r="D147" s="66" t="s">
        <v>398</v>
      </c>
      <c r="E147" s="413" t="s">
        <v>2315</v>
      </c>
      <c r="F147" s="594">
        <v>2.3E-2</v>
      </c>
      <c r="G147" s="594">
        <v>0.25900000000000001</v>
      </c>
      <c r="H147" s="594">
        <v>0.25019999999999998</v>
      </c>
      <c r="J147" s="195"/>
      <c r="K147" s="232"/>
      <c r="M147" t="s">
        <v>399</v>
      </c>
      <c r="N147" t="s">
        <v>398</v>
      </c>
      <c r="O147" t="s">
        <v>1211</v>
      </c>
      <c r="P147" s="608">
        <v>2.3E-2</v>
      </c>
      <c r="Q147" s="608">
        <v>0.25900000000000001</v>
      </c>
      <c r="S147" s="200">
        <f t="shared" si="4"/>
        <v>0</v>
      </c>
      <c r="T147" s="200">
        <f t="shared" si="5"/>
        <v>0</v>
      </c>
    </row>
    <row r="148" spans="1:20" ht="15">
      <c r="A148" s="415">
        <v>141</v>
      </c>
      <c r="B148" s="415">
        <v>216</v>
      </c>
      <c r="C148" s="66" t="s">
        <v>2407</v>
      </c>
      <c r="D148" s="66" t="s">
        <v>400</v>
      </c>
      <c r="E148" s="413" t="s">
        <v>2127</v>
      </c>
      <c r="F148" s="594">
        <v>7.4899999999999994E-2</v>
      </c>
      <c r="G148" s="594">
        <v>0.26860000000000001</v>
      </c>
      <c r="H148" s="594">
        <v>0.23419999999999999</v>
      </c>
      <c r="J148" s="195"/>
      <c r="K148" s="232"/>
      <c r="M148" t="s">
        <v>401</v>
      </c>
      <c r="N148" t="s">
        <v>400</v>
      </c>
      <c r="O148" t="s">
        <v>1224</v>
      </c>
      <c r="P148" s="608">
        <v>7.4899999999999994E-2</v>
      </c>
      <c r="Q148" s="608">
        <v>0.26860000000000001</v>
      </c>
      <c r="S148" s="200">
        <f t="shared" si="4"/>
        <v>0</v>
      </c>
      <c r="T148" s="200">
        <f t="shared" si="5"/>
        <v>0</v>
      </c>
    </row>
    <row r="149" spans="1:20" ht="15">
      <c r="A149" s="415">
        <v>142</v>
      </c>
      <c r="B149" s="415">
        <v>260</v>
      </c>
      <c r="C149" s="66" t="s">
        <v>2407</v>
      </c>
      <c r="D149" s="66" t="s">
        <v>402</v>
      </c>
      <c r="E149" s="413" t="s">
        <v>2316</v>
      </c>
      <c r="F149" s="594">
        <v>3.5499999999999997E-2</v>
      </c>
      <c r="G149" s="594">
        <v>0.25059999999999999</v>
      </c>
      <c r="H149" s="594">
        <v>0.26129999999999998</v>
      </c>
      <c r="J149" s="195"/>
      <c r="K149" s="232"/>
      <c r="M149" t="s">
        <v>403</v>
      </c>
      <c r="N149" t="s">
        <v>402</v>
      </c>
      <c r="O149" t="s">
        <v>1442</v>
      </c>
      <c r="P149" s="608">
        <v>3.5499999999999997E-2</v>
      </c>
      <c r="Q149" s="608">
        <v>0.25059999999999999</v>
      </c>
      <c r="S149" s="200">
        <f t="shared" si="4"/>
        <v>0</v>
      </c>
      <c r="T149" s="200">
        <f t="shared" si="5"/>
        <v>0</v>
      </c>
    </row>
    <row r="150" spans="1:20" ht="15">
      <c r="A150" s="415">
        <v>143</v>
      </c>
      <c r="B150" s="415">
        <v>300</v>
      </c>
      <c r="C150" s="66" t="s">
        <v>2407</v>
      </c>
      <c r="D150" s="66" t="s">
        <v>404</v>
      </c>
      <c r="E150" s="413" t="s">
        <v>2128</v>
      </c>
      <c r="F150" s="594">
        <v>6.9000000000000006E-2</v>
      </c>
      <c r="G150" s="594">
        <v>0.27500000000000002</v>
      </c>
      <c r="H150" s="594">
        <v>0.1593</v>
      </c>
      <c r="J150" s="195"/>
      <c r="K150" s="232"/>
      <c r="M150" t="s">
        <v>405</v>
      </c>
      <c r="N150" t="s">
        <v>404</v>
      </c>
      <c r="O150" t="s">
        <v>1274</v>
      </c>
      <c r="P150" s="608">
        <v>6.9000000000000006E-2</v>
      </c>
      <c r="Q150" s="608">
        <v>0.27500000000000002</v>
      </c>
      <c r="S150" s="200">
        <f t="shared" si="4"/>
        <v>0</v>
      </c>
      <c r="T150" s="200">
        <f t="shared" si="5"/>
        <v>0</v>
      </c>
    </row>
    <row r="151" spans="1:20" ht="15">
      <c r="A151" s="415">
        <v>144</v>
      </c>
      <c r="B151" s="415">
        <v>149</v>
      </c>
      <c r="C151" s="66" t="s">
        <v>2407</v>
      </c>
      <c r="D151" s="66" t="s">
        <v>406</v>
      </c>
      <c r="E151" s="413" t="s">
        <v>2129</v>
      </c>
      <c r="F151" s="594">
        <v>0.10489999999999999</v>
      </c>
      <c r="G151" s="594">
        <v>0.37309999999999999</v>
      </c>
      <c r="H151" s="594">
        <v>0.45140000000000002</v>
      </c>
      <c r="J151" s="195"/>
      <c r="K151" s="232"/>
      <c r="M151" t="s">
        <v>407</v>
      </c>
      <c r="N151" t="s">
        <v>406</v>
      </c>
      <c r="O151" t="s">
        <v>1301</v>
      </c>
      <c r="P151" s="608">
        <v>0.10489999999999999</v>
      </c>
      <c r="Q151" s="608">
        <v>0.37309999999999999</v>
      </c>
      <c r="S151" s="200">
        <f t="shared" si="4"/>
        <v>0</v>
      </c>
      <c r="T151" s="200">
        <f t="shared" si="5"/>
        <v>0</v>
      </c>
    </row>
    <row r="152" spans="1:20" ht="15">
      <c r="A152" s="415">
        <v>145</v>
      </c>
      <c r="B152" s="415">
        <v>295</v>
      </c>
      <c r="C152" s="66" t="s">
        <v>2407</v>
      </c>
      <c r="D152" s="66" t="s">
        <v>408</v>
      </c>
      <c r="E152" s="413" t="s">
        <v>2317</v>
      </c>
      <c r="F152" s="594">
        <v>0.15459999999999999</v>
      </c>
      <c r="G152" s="594">
        <v>0.45340000000000003</v>
      </c>
      <c r="H152" s="594">
        <v>0.67169999999999996</v>
      </c>
      <c r="J152" s="195"/>
      <c r="K152" s="232"/>
      <c r="M152" t="s">
        <v>409</v>
      </c>
      <c r="N152" t="s">
        <v>408</v>
      </c>
      <c r="O152" t="s">
        <v>1398</v>
      </c>
      <c r="P152" s="608">
        <v>0.15459999999999999</v>
      </c>
      <c r="Q152" s="608">
        <v>0.45340000000000003</v>
      </c>
      <c r="S152" s="200">
        <f t="shared" si="4"/>
        <v>0</v>
      </c>
      <c r="T152" s="200">
        <f t="shared" si="5"/>
        <v>0</v>
      </c>
    </row>
    <row r="153" spans="1:20" ht="15">
      <c r="A153" s="415">
        <v>146</v>
      </c>
      <c r="B153" s="415">
        <v>319</v>
      </c>
      <c r="C153" s="66" t="s">
        <v>2408</v>
      </c>
      <c r="D153" s="66" t="s">
        <v>410</v>
      </c>
      <c r="E153" s="413" t="s">
        <v>2130</v>
      </c>
      <c r="F153" s="594">
        <v>4.7E-2</v>
      </c>
      <c r="G153" s="594">
        <v>8.5199999999999998E-2</v>
      </c>
      <c r="H153" s="594">
        <v>0.1348</v>
      </c>
      <c r="J153" s="195"/>
      <c r="K153" s="232"/>
      <c r="M153" t="s">
        <v>411</v>
      </c>
      <c r="N153" t="s">
        <v>410</v>
      </c>
      <c r="O153" t="s">
        <v>1275</v>
      </c>
      <c r="P153" s="608">
        <v>4.7E-2</v>
      </c>
      <c r="Q153" s="608">
        <v>8.5199999999999998E-2</v>
      </c>
      <c r="S153" s="200">
        <f t="shared" si="4"/>
        <v>0</v>
      </c>
      <c r="T153" s="200">
        <f t="shared" si="5"/>
        <v>0</v>
      </c>
    </row>
    <row r="154" spans="1:20" ht="15">
      <c r="A154" s="415">
        <v>147</v>
      </c>
      <c r="B154" s="415">
        <v>53</v>
      </c>
      <c r="C154" s="66" t="s">
        <v>2407</v>
      </c>
      <c r="D154" s="66" t="s">
        <v>412</v>
      </c>
      <c r="E154" s="413" t="s">
        <v>2131</v>
      </c>
      <c r="F154" s="594">
        <v>4.3200000000000002E-2</v>
      </c>
      <c r="G154" s="594">
        <v>0.19020000000000001</v>
      </c>
      <c r="H154" s="594">
        <v>0.1759</v>
      </c>
      <c r="J154" s="195"/>
      <c r="K154" s="232"/>
      <c r="M154" t="s">
        <v>413</v>
      </c>
      <c r="N154" t="s">
        <v>412</v>
      </c>
      <c r="O154" t="s">
        <v>2489</v>
      </c>
      <c r="P154" s="608">
        <v>4.3200000000000002E-2</v>
      </c>
      <c r="Q154" s="608">
        <v>0.19020000000000001</v>
      </c>
      <c r="S154" s="200">
        <f t="shared" si="4"/>
        <v>0</v>
      </c>
      <c r="T154" s="200">
        <f t="shared" si="5"/>
        <v>0</v>
      </c>
    </row>
    <row r="155" spans="1:20" ht="15">
      <c r="A155" s="415">
        <v>148</v>
      </c>
      <c r="B155" s="415">
        <v>14</v>
      </c>
      <c r="C155" s="66" t="s">
        <v>2407</v>
      </c>
      <c r="D155" s="66" t="s">
        <v>414</v>
      </c>
      <c r="E155" s="413" t="s">
        <v>2318</v>
      </c>
      <c r="F155" s="594">
        <v>4.5100000000000001E-2</v>
      </c>
      <c r="G155" s="594">
        <v>0.17269999999999999</v>
      </c>
      <c r="H155" s="594">
        <v>0.24579999999999999</v>
      </c>
      <c r="J155" s="195"/>
      <c r="K155" s="232"/>
      <c r="M155" t="s">
        <v>415</v>
      </c>
      <c r="N155" t="s">
        <v>414</v>
      </c>
      <c r="O155" t="s">
        <v>1313</v>
      </c>
      <c r="P155" s="608">
        <v>4.5100000000000001E-2</v>
      </c>
      <c r="Q155" s="608">
        <v>0.17269999999999999</v>
      </c>
      <c r="S155" s="200">
        <f t="shared" si="4"/>
        <v>0</v>
      </c>
      <c r="T155" s="200">
        <f t="shared" si="5"/>
        <v>0</v>
      </c>
    </row>
    <row r="156" spans="1:20" ht="15">
      <c r="A156" s="415">
        <v>149</v>
      </c>
      <c r="B156" s="415">
        <v>174</v>
      </c>
      <c r="C156" s="66" t="s">
        <v>2409</v>
      </c>
      <c r="D156" s="66" t="s">
        <v>416</v>
      </c>
      <c r="E156" s="413" t="s">
        <v>2132</v>
      </c>
      <c r="F156" s="594">
        <v>4.58E-2</v>
      </c>
      <c r="G156" s="594">
        <v>0.20300000000000001</v>
      </c>
      <c r="H156" s="594">
        <v>0.18720000000000001</v>
      </c>
      <c r="J156" s="195"/>
      <c r="K156" s="232"/>
      <c r="M156" t="s">
        <v>417</v>
      </c>
      <c r="N156" t="s">
        <v>416</v>
      </c>
      <c r="O156" t="s">
        <v>1337</v>
      </c>
      <c r="P156" s="608">
        <v>4.58E-2</v>
      </c>
      <c r="Q156" s="608">
        <v>0.20300000000000001</v>
      </c>
      <c r="S156" s="200">
        <f t="shared" si="4"/>
        <v>0</v>
      </c>
      <c r="T156" s="200">
        <f t="shared" si="5"/>
        <v>0</v>
      </c>
    </row>
    <row r="157" spans="1:20" ht="15">
      <c r="A157" s="415">
        <v>150</v>
      </c>
      <c r="B157" s="415">
        <v>271</v>
      </c>
      <c r="C157" s="66" t="s">
        <v>2409</v>
      </c>
      <c r="D157" s="66" t="s">
        <v>418</v>
      </c>
      <c r="E157" s="413" t="s">
        <v>2319</v>
      </c>
      <c r="F157" s="594">
        <v>0.1883</v>
      </c>
      <c r="G157" s="594">
        <v>0.4385</v>
      </c>
      <c r="H157" s="594">
        <v>0.30969999999999998</v>
      </c>
      <c r="J157" s="195"/>
      <c r="K157" s="232"/>
      <c r="M157" t="s">
        <v>419</v>
      </c>
      <c r="N157" t="s">
        <v>418</v>
      </c>
      <c r="O157" t="s">
        <v>1265</v>
      </c>
      <c r="P157" s="608">
        <v>0.1883</v>
      </c>
      <c r="Q157" s="608">
        <v>0.4385</v>
      </c>
      <c r="S157" s="200">
        <f t="shared" si="4"/>
        <v>0</v>
      </c>
      <c r="T157" s="200">
        <f t="shared" si="5"/>
        <v>0</v>
      </c>
    </row>
    <row r="158" spans="1:20" ht="15">
      <c r="A158" s="415">
        <v>151</v>
      </c>
      <c r="B158" s="415">
        <v>235</v>
      </c>
      <c r="C158" s="66" t="s">
        <v>2409</v>
      </c>
      <c r="D158" s="66" t="s">
        <v>420</v>
      </c>
      <c r="E158" s="413" t="s">
        <v>2133</v>
      </c>
      <c r="F158" s="594">
        <v>2.5100000000000001E-2</v>
      </c>
      <c r="G158" s="594">
        <v>0.16489999999999999</v>
      </c>
      <c r="H158" s="594">
        <v>0.17050000000000001</v>
      </c>
      <c r="J158" s="195"/>
      <c r="K158" s="232"/>
      <c r="M158" t="s">
        <v>421</v>
      </c>
      <c r="N158" t="s">
        <v>420</v>
      </c>
      <c r="O158" t="s">
        <v>1331</v>
      </c>
      <c r="P158" s="608">
        <v>2.5100000000000001E-2</v>
      </c>
      <c r="Q158" s="608">
        <v>0.16489999999999999</v>
      </c>
      <c r="S158" s="200">
        <f t="shared" si="4"/>
        <v>0</v>
      </c>
      <c r="T158" s="200">
        <f t="shared" si="5"/>
        <v>0</v>
      </c>
    </row>
    <row r="159" spans="1:20" ht="15">
      <c r="A159" s="415">
        <v>152</v>
      </c>
      <c r="B159" s="415">
        <v>79</v>
      </c>
      <c r="C159" s="66" t="s">
        <v>2409</v>
      </c>
      <c r="D159" s="66" t="s">
        <v>422</v>
      </c>
      <c r="E159" s="413" t="s">
        <v>2134</v>
      </c>
      <c r="F159" s="594">
        <v>1.5599999999999999E-2</v>
      </c>
      <c r="G159" s="594">
        <v>0.24859999999999999</v>
      </c>
      <c r="H159" s="594">
        <v>0.23619999999999999</v>
      </c>
      <c r="J159" s="195"/>
      <c r="K159" s="232"/>
      <c r="M159" t="s">
        <v>423</v>
      </c>
      <c r="N159" t="s">
        <v>422</v>
      </c>
      <c r="O159" t="s">
        <v>1329</v>
      </c>
      <c r="P159" s="608">
        <v>1.5599999999999999E-2</v>
      </c>
      <c r="Q159" s="608">
        <v>0.24859999999999999</v>
      </c>
      <c r="S159" s="200">
        <f t="shared" si="4"/>
        <v>0</v>
      </c>
      <c r="T159" s="200">
        <f t="shared" si="5"/>
        <v>0</v>
      </c>
    </row>
    <row r="160" spans="1:20" ht="15">
      <c r="A160" s="415">
        <v>153</v>
      </c>
      <c r="B160" s="415">
        <v>249</v>
      </c>
      <c r="C160" s="66" t="s">
        <v>2409</v>
      </c>
      <c r="D160" s="66" t="s">
        <v>424</v>
      </c>
      <c r="E160" s="413" t="s">
        <v>2135</v>
      </c>
      <c r="F160" s="594">
        <v>3.6600000000000001E-2</v>
      </c>
      <c r="G160" s="594">
        <v>0.22559999999999999</v>
      </c>
      <c r="H160" s="594">
        <v>0.22739999999999999</v>
      </c>
      <c r="J160" s="195"/>
      <c r="K160" s="232"/>
      <c r="M160" t="s">
        <v>425</v>
      </c>
      <c r="N160" t="s">
        <v>424</v>
      </c>
      <c r="O160" t="s">
        <v>1200</v>
      </c>
      <c r="P160" s="608">
        <v>3.6600000000000001E-2</v>
      </c>
      <c r="Q160" s="608">
        <v>0.22559999999999999</v>
      </c>
      <c r="S160" s="200">
        <f t="shared" si="4"/>
        <v>0</v>
      </c>
      <c r="T160" s="200">
        <f t="shared" si="5"/>
        <v>0</v>
      </c>
    </row>
    <row r="161" spans="1:20" ht="15">
      <c r="A161" s="415">
        <v>154</v>
      </c>
      <c r="B161" s="415">
        <v>248</v>
      </c>
      <c r="C161" s="66" t="s">
        <v>2409</v>
      </c>
      <c r="D161" s="66" t="s">
        <v>426</v>
      </c>
      <c r="E161" s="413" t="s">
        <v>2136</v>
      </c>
      <c r="F161" s="594">
        <v>4.3900000000000002E-2</v>
      </c>
      <c r="G161" s="594">
        <v>0.15329999999999999</v>
      </c>
      <c r="H161" s="594">
        <v>8.9800000000000005E-2</v>
      </c>
      <c r="J161" s="195"/>
      <c r="K161" s="232"/>
      <c r="M161" t="s">
        <v>427</v>
      </c>
      <c r="N161" t="s">
        <v>426</v>
      </c>
      <c r="O161" t="s">
        <v>1465</v>
      </c>
      <c r="P161" s="608">
        <v>4.3900000000000002E-2</v>
      </c>
      <c r="Q161" s="608">
        <v>0.15329999999999999</v>
      </c>
      <c r="S161" s="200">
        <f t="shared" si="4"/>
        <v>0</v>
      </c>
      <c r="T161" s="200">
        <f t="shared" si="5"/>
        <v>0</v>
      </c>
    </row>
    <row r="162" spans="1:20" ht="15">
      <c r="A162" s="415">
        <v>155</v>
      </c>
      <c r="B162" s="415">
        <v>100</v>
      </c>
      <c r="C162" s="66" t="s">
        <v>2409</v>
      </c>
      <c r="D162" s="66" t="s">
        <v>428</v>
      </c>
      <c r="E162" s="413" t="s">
        <v>2137</v>
      </c>
      <c r="F162" s="594">
        <v>0</v>
      </c>
      <c r="G162" s="594">
        <v>0.14699999999999999</v>
      </c>
      <c r="H162" s="594">
        <v>2.9499999999999998E-2</v>
      </c>
      <c r="J162" s="195"/>
      <c r="K162" s="232"/>
      <c r="M162" t="s">
        <v>429</v>
      </c>
      <c r="N162" t="s">
        <v>428</v>
      </c>
      <c r="O162" t="s">
        <v>1213</v>
      </c>
      <c r="P162" s="608"/>
      <c r="Q162" s="608">
        <v>0.14699999999999999</v>
      </c>
      <c r="S162" s="200">
        <f t="shared" si="4"/>
        <v>0</v>
      </c>
      <c r="T162" s="200">
        <f t="shared" si="5"/>
        <v>0</v>
      </c>
    </row>
    <row r="163" spans="1:20" ht="15">
      <c r="A163" s="415">
        <v>156</v>
      </c>
      <c r="B163" s="415">
        <v>296</v>
      </c>
      <c r="C163" s="66" t="s">
        <v>2409</v>
      </c>
      <c r="D163" s="66" t="s">
        <v>430</v>
      </c>
      <c r="E163" s="413" t="s">
        <v>2138</v>
      </c>
      <c r="F163" s="594">
        <v>2.1100000000000001E-2</v>
      </c>
      <c r="G163" s="594">
        <v>0.19359999999999999</v>
      </c>
      <c r="H163" s="594">
        <v>0.1734</v>
      </c>
      <c r="J163" s="195"/>
      <c r="K163" s="232"/>
      <c r="M163" t="s">
        <v>431</v>
      </c>
      <c r="N163" t="s">
        <v>430</v>
      </c>
      <c r="O163" t="s">
        <v>1437</v>
      </c>
      <c r="P163" s="608">
        <v>2.1100000000000001E-2</v>
      </c>
      <c r="Q163" s="608">
        <v>0.19359999999999999</v>
      </c>
      <c r="S163" s="200">
        <f t="shared" si="4"/>
        <v>0</v>
      </c>
      <c r="T163" s="200">
        <f t="shared" si="5"/>
        <v>0</v>
      </c>
    </row>
    <row r="164" spans="1:20" ht="15">
      <c r="A164" s="415">
        <v>157</v>
      </c>
      <c r="B164" s="415">
        <v>183</v>
      </c>
      <c r="C164" s="66" t="s">
        <v>2409</v>
      </c>
      <c r="D164" s="66" t="s">
        <v>432</v>
      </c>
      <c r="E164" s="413" t="s">
        <v>2139</v>
      </c>
      <c r="F164" s="594">
        <v>3.5700000000000003E-2</v>
      </c>
      <c r="G164" s="594">
        <v>0.17169999999999999</v>
      </c>
      <c r="H164" s="594">
        <v>0.16450000000000001</v>
      </c>
      <c r="J164" s="195"/>
      <c r="K164" s="232"/>
      <c r="M164" t="s">
        <v>433</v>
      </c>
      <c r="N164" t="s">
        <v>432</v>
      </c>
      <c r="O164" t="s">
        <v>1358</v>
      </c>
      <c r="P164" s="608">
        <v>3.5700000000000003E-2</v>
      </c>
      <c r="Q164" s="608">
        <v>0.17169999999999999</v>
      </c>
      <c r="S164" s="200">
        <f t="shared" si="4"/>
        <v>0</v>
      </c>
      <c r="T164" s="200">
        <f t="shared" si="5"/>
        <v>0</v>
      </c>
    </row>
    <row r="165" spans="1:20" ht="15">
      <c r="A165" s="415">
        <v>158</v>
      </c>
      <c r="B165" s="415">
        <v>228</v>
      </c>
      <c r="C165" s="66" t="s">
        <v>2409</v>
      </c>
      <c r="D165" s="66" t="s">
        <v>434</v>
      </c>
      <c r="E165" s="413" t="s">
        <v>2140</v>
      </c>
      <c r="F165" s="594">
        <v>2.7799999999999998E-2</v>
      </c>
      <c r="G165" s="594">
        <v>0.1913</v>
      </c>
      <c r="H165" s="594">
        <v>0.17</v>
      </c>
      <c r="J165" s="195"/>
      <c r="K165" s="232"/>
      <c r="M165" t="s">
        <v>435</v>
      </c>
      <c r="N165" t="s">
        <v>434</v>
      </c>
      <c r="O165" t="s">
        <v>1371</v>
      </c>
      <c r="P165" s="608">
        <v>2.7799999999999998E-2</v>
      </c>
      <c r="Q165" s="608">
        <v>0.1913</v>
      </c>
      <c r="S165" s="200">
        <f t="shared" si="4"/>
        <v>0</v>
      </c>
      <c r="T165" s="200">
        <f t="shared" si="5"/>
        <v>0</v>
      </c>
    </row>
    <row r="166" spans="1:20" ht="15">
      <c r="A166" s="415">
        <v>159</v>
      </c>
      <c r="B166" s="415">
        <v>237</v>
      </c>
      <c r="C166" s="66" t="s">
        <v>2409</v>
      </c>
      <c r="D166" s="66" t="s">
        <v>436</v>
      </c>
      <c r="E166" s="413" t="s">
        <v>2141</v>
      </c>
      <c r="F166" s="594">
        <v>3.3500000000000002E-2</v>
      </c>
      <c r="G166" s="594">
        <v>0.1691</v>
      </c>
      <c r="H166" s="594">
        <v>0.15629999999999999</v>
      </c>
      <c r="J166" s="195"/>
      <c r="K166" s="232"/>
      <c r="M166" t="s">
        <v>437</v>
      </c>
      <c r="N166" t="s">
        <v>436</v>
      </c>
      <c r="O166" t="s">
        <v>1228</v>
      </c>
      <c r="P166" s="608">
        <v>3.3500000000000002E-2</v>
      </c>
      <c r="Q166" s="608">
        <v>0.1691</v>
      </c>
      <c r="S166" s="200">
        <f t="shared" si="4"/>
        <v>0</v>
      </c>
      <c r="T166" s="200">
        <f t="shared" si="5"/>
        <v>0</v>
      </c>
    </row>
    <row r="167" spans="1:20" ht="15">
      <c r="A167" s="415">
        <v>160</v>
      </c>
      <c r="B167" s="415">
        <v>80</v>
      </c>
      <c r="C167" s="66" t="s">
        <v>2409</v>
      </c>
      <c r="D167" s="66" t="s">
        <v>438</v>
      </c>
      <c r="E167" s="413" t="s">
        <v>2142</v>
      </c>
      <c r="F167" s="594">
        <v>5.21E-2</v>
      </c>
      <c r="G167" s="594">
        <v>0.24310000000000001</v>
      </c>
      <c r="H167" s="594">
        <v>0.28360000000000002</v>
      </c>
      <c r="J167" s="195"/>
      <c r="K167" s="232"/>
      <c r="M167" t="s">
        <v>439</v>
      </c>
      <c r="N167" t="s">
        <v>438</v>
      </c>
      <c r="O167" t="s">
        <v>1460</v>
      </c>
      <c r="P167" s="608">
        <v>5.21E-2</v>
      </c>
      <c r="Q167" s="608">
        <v>0.24310000000000001</v>
      </c>
      <c r="S167" s="200">
        <f t="shared" si="4"/>
        <v>0</v>
      </c>
      <c r="T167" s="200">
        <f t="shared" si="5"/>
        <v>0</v>
      </c>
    </row>
    <row r="168" spans="1:20" ht="15">
      <c r="A168" s="415">
        <v>161</v>
      </c>
      <c r="B168" s="415">
        <v>153</v>
      </c>
      <c r="C168" s="66" t="s">
        <v>2409</v>
      </c>
      <c r="D168" s="66" t="s">
        <v>440</v>
      </c>
      <c r="E168" s="413" t="s">
        <v>2143</v>
      </c>
      <c r="F168" s="594">
        <v>2.41E-2</v>
      </c>
      <c r="G168" s="594">
        <v>0.1139</v>
      </c>
      <c r="H168" s="594">
        <v>9.8400000000000001E-2</v>
      </c>
      <c r="J168" s="195"/>
      <c r="K168" s="232"/>
      <c r="M168" t="s">
        <v>441</v>
      </c>
      <c r="N168" t="s">
        <v>440</v>
      </c>
      <c r="O168" t="s">
        <v>1227</v>
      </c>
      <c r="P168" s="608">
        <v>2.41E-2</v>
      </c>
      <c r="Q168" s="608">
        <v>0.1139</v>
      </c>
      <c r="S168" s="200">
        <f t="shared" si="4"/>
        <v>0</v>
      </c>
      <c r="T168" s="200">
        <f t="shared" si="5"/>
        <v>0</v>
      </c>
    </row>
    <row r="169" spans="1:20" ht="15">
      <c r="A169" s="415">
        <v>162</v>
      </c>
      <c r="B169" s="415">
        <v>72</v>
      </c>
      <c r="C169" s="66" t="s">
        <v>2402</v>
      </c>
      <c r="D169" s="66" t="s">
        <v>442</v>
      </c>
      <c r="E169" s="413" t="s">
        <v>2144</v>
      </c>
      <c r="F169" s="594">
        <v>5.2400000000000002E-2</v>
      </c>
      <c r="G169" s="594">
        <v>0.28639999999999999</v>
      </c>
      <c r="H169" s="594">
        <v>0.29909999999999998</v>
      </c>
      <c r="J169" s="195"/>
      <c r="K169" s="232"/>
      <c r="M169" t="s">
        <v>443</v>
      </c>
      <c r="N169" t="s">
        <v>442</v>
      </c>
      <c r="O169" t="s">
        <v>1419</v>
      </c>
      <c r="P169" s="608">
        <v>5.2400000000000002E-2</v>
      </c>
      <c r="Q169" s="608">
        <v>0.28639999999999999</v>
      </c>
      <c r="S169" s="200">
        <f t="shared" si="4"/>
        <v>0</v>
      </c>
      <c r="T169" s="200">
        <f t="shared" si="5"/>
        <v>0</v>
      </c>
    </row>
    <row r="170" spans="1:20" ht="15">
      <c r="A170" s="415">
        <v>163</v>
      </c>
      <c r="B170" s="415">
        <v>152</v>
      </c>
      <c r="C170" s="66" t="s">
        <v>2402</v>
      </c>
      <c r="D170" s="66" t="s">
        <v>444</v>
      </c>
      <c r="E170" s="413" t="s">
        <v>2145</v>
      </c>
      <c r="F170" s="594">
        <v>0.04</v>
      </c>
      <c r="G170" s="594">
        <v>0.27839999999999998</v>
      </c>
      <c r="H170" s="594">
        <v>0.26600000000000001</v>
      </c>
      <c r="J170" s="195"/>
      <c r="K170" s="232"/>
      <c r="M170" t="s">
        <v>445</v>
      </c>
      <c r="N170" t="s">
        <v>444</v>
      </c>
      <c r="O170" t="s">
        <v>2472</v>
      </c>
      <c r="P170" s="608">
        <v>0.04</v>
      </c>
      <c r="Q170" s="608">
        <v>0.27839999999999998</v>
      </c>
      <c r="S170" s="200">
        <f t="shared" si="4"/>
        <v>0</v>
      </c>
      <c r="T170" s="200">
        <f t="shared" si="5"/>
        <v>0</v>
      </c>
    </row>
    <row r="171" spans="1:20" ht="15">
      <c r="A171" s="415">
        <v>164</v>
      </c>
      <c r="B171" s="415">
        <v>328</v>
      </c>
      <c r="C171" s="66" t="s">
        <v>2402</v>
      </c>
      <c r="D171" s="66" t="s">
        <v>446</v>
      </c>
      <c r="E171" s="413" t="s">
        <v>2146</v>
      </c>
      <c r="F171" s="594">
        <v>0</v>
      </c>
      <c r="G171" s="594">
        <v>0.33229999999999998</v>
      </c>
      <c r="H171" s="594">
        <v>0.2772</v>
      </c>
      <c r="J171" s="195"/>
      <c r="K171" s="232"/>
      <c r="M171" t="s">
        <v>447</v>
      </c>
      <c r="N171" t="s">
        <v>446</v>
      </c>
      <c r="O171" t="s">
        <v>1201</v>
      </c>
      <c r="P171" s="608"/>
      <c r="Q171" s="608">
        <v>0.33229999999999998</v>
      </c>
      <c r="S171" s="200">
        <f t="shared" si="4"/>
        <v>0</v>
      </c>
      <c r="T171" s="200">
        <f t="shared" si="5"/>
        <v>0</v>
      </c>
    </row>
    <row r="172" spans="1:20" ht="15">
      <c r="A172" s="415">
        <v>165</v>
      </c>
      <c r="B172" s="415">
        <v>298</v>
      </c>
      <c r="C172" s="66" t="s">
        <v>2402</v>
      </c>
      <c r="D172" s="66" t="s">
        <v>448</v>
      </c>
      <c r="E172" s="413" t="s">
        <v>2147</v>
      </c>
      <c r="F172" s="594">
        <v>5.9900000000000002E-2</v>
      </c>
      <c r="G172" s="594">
        <v>0.3231</v>
      </c>
      <c r="H172" s="594">
        <v>0.37030000000000002</v>
      </c>
      <c r="J172" s="195"/>
      <c r="K172" s="232"/>
      <c r="M172" t="s">
        <v>449</v>
      </c>
      <c r="N172" t="s">
        <v>448</v>
      </c>
      <c r="O172" t="s">
        <v>1245</v>
      </c>
      <c r="P172" s="608">
        <v>5.9900000000000002E-2</v>
      </c>
      <c r="Q172" s="608">
        <v>0.3231</v>
      </c>
      <c r="S172" s="200">
        <f t="shared" si="4"/>
        <v>0</v>
      </c>
      <c r="T172" s="200">
        <f t="shared" si="5"/>
        <v>0</v>
      </c>
    </row>
    <row r="173" spans="1:20" ht="15">
      <c r="A173" s="415">
        <v>166</v>
      </c>
      <c r="B173" s="415">
        <v>227</v>
      </c>
      <c r="C173" s="66" t="s">
        <v>2402</v>
      </c>
      <c r="D173" s="66" t="s">
        <v>450</v>
      </c>
      <c r="E173" s="413" t="s">
        <v>2148</v>
      </c>
      <c r="F173" s="594">
        <v>3.3099999999999997E-2</v>
      </c>
      <c r="G173" s="594">
        <v>0.26429999999999998</v>
      </c>
      <c r="H173" s="594">
        <v>0.26919999999999999</v>
      </c>
      <c r="J173" s="195"/>
      <c r="K173" s="232"/>
      <c r="M173" t="s">
        <v>451</v>
      </c>
      <c r="N173" t="s">
        <v>450</v>
      </c>
      <c r="O173" t="s">
        <v>1354</v>
      </c>
      <c r="P173" s="608">
        <v>3.3099999999999997E-2</v>
      </c>
      <c r="Q173" s="608">
        <v>0.26429999999999998</v>
      </c>
      <c r="S173" s="200">
        <f t="shared" si="4"/>
        <v>0</v>
      </c>
      <c r="T173" s="200">
        <f t="shared" si="5"/>
        <v>0</v>
      </c>
    </row>
    <row r="174" spans="1:20" ht="15">
      <c r="A174" s="415">
        <v>167</v>
      </c>
      <c r="B174" s="415">
        <v>224</v>
      </c>
      <c r="C174" s="66" t="s">
        <v>2402</v>
      </c>
      <c r="D174" s="66" t="s">
        <v>452</v>
      </c>
      <c r="E174" s="413" t="s">
        <v>2149</v>
      </c>
      <c r="F174" s="594">
        <v>4.1099999999999998E-2</v>
      </c>
      <c r="G174" s="594">
        <v>0.30909999999999999</v>
      </c>
      <c r="H174" s="594">
        <v>0.3513</v>
      </c>
      <c r="J174" s="195"/>
      <c r="K174" s="232"/>
      <c r="M174" t="s">
        <v>453</v>
      </c>
      <c r="N174" t="s">
        <v>452</v>
      </c>
      <c r="O174" t="s">
        <v>1462</v>
      </c>
      <c r="P174" s="608">
        <v>4.1099999999999998E-2</v>
      </c>
      <c r="Q174" s="608">
        <v>0.30909999999999999</v>
      </c>
      <c r="S174" s="200">
        <f t="shared" si="4"/>
        <v>0</v>
      </c>
      <c r="T174" s="200">
        <f t="shared" si="5"/>
        <v>0</v>
      </c>
    </row>
    <row r="175" spans="1:20" ht="15">
      <c r="A175" s="415">
        <v>168</v>
      </c>
      <c r="B175" s="415">
        <v>118</v>
      </c>
      <c r="C175" s="66" t="s">
        <v>2402</v>
      </c>
      <c r="D175" s="66" t="s">
        <v>454</v>
      </c>
      <c r="E175" s="413" t="s">
        <v>2150</v>
      </c>
      <c r="F175" s="594">
        <v>5.1900000000000002E-2</v>
      </c>
      <c r="G175" s="594">
        <v>0.1978</v>
      </c>
      <c r="H175" s="594">
        <v>0.20910000000000001</v>
      </c>
      <c r="J175" s="195"/>
      <c r="K175" s="232"/>
      <c r="M175" t="s">
        <v>455</v>
      </c>
      <c r="N175" t="s">
        <v>454</v>
      </c>
      <c r="O175" t="s">
        <v>1284</v>
      </c>
      <c r="P175" s="608">
        <v>5.1900000000000002E-2</v>
      </c>
      <c r="Q175" s="608">
        <v>0.1978</v>
      </c>
      <c r="S175" s="200">
        <f t="shared" si="4"/>
        <v>0</v>
      </c>
      <c r="T175" s="200">
        <f t="shared" si="5"/>
        <v>0</v>
      </c>
    </row>
    <row r="176" spans="1:20" ht="15">
      <c r="A176" s="415">
        <v>169</v>
      </c>
      <c r="B176" s="415">
        <v>232</v>
      </c>
      <c r="C176" s="66" t="s">
        <v>2402</v>
      </c>
      <c r="D176" s="66" t="s">
        <v>456</v>
      </c>
      <c r="E176" s="413" t="s">
        <v>2151</v>
      </c>
      <c r="F176" s="594">
        <v>3.49E-2</v>
      </c>
      <c r="G176" s="594">
        <v>0.19969999999999999</v>
      </c>
      <c r="H176" s="594">
        <v>0.1968</v>
      </c>
      <c r="J176" s="195"/>
      <c r="K176" s="232"/>
      <c r="M176" t="s">
        <v>457</v>
      </c>
      <c r="N176" t="s">
        <v>456</v>
      </c>
      <c r="O176" t="s">
        <v>1250</v>
      </c>
      <c r="P176" s="608">
        <v>3.49E-2</v>
      </c>
      <c r="Q176" s="608">
        <v>0.19969999999999999</v>
      </c>
      <c r="S176" s="200">
        <f t="shared" si="4"/>
        <v>0</v>
      </c>
      <c r="T176" s="200">
        <f t="shared" si="5"/>
        <v>0</v>
      </c>
    </row>
    <row r="177" spans="1:20" ht="15">
      <c r="A177" s="415">
        <v>170</v>
      </c>
      <c r="B177" s="415">
        <v>315</v>
      </c>
      <c r="C177" s="66" t="s">
        <v>2409</v>
      </c>
      <c r="D177" s="66" t="s">
        <v>458</v>
      </c>
      <c r="E177" s="413" t="s">
        <v>2152</v>
      </c>
      <c r="F177" s="594">
        <v>6.83E-2</v>
      </c>
      <c r="G177" s="594">
        <v>0.2482</v>
      </c>
      <c r="H177" s="594">
        <v>0.12230000000000001</v>
      </c>
      <c r="J177" s="195"/>
      <c r="K177" s="232"/>
      <c r="M177" t="s">
        <v>459</v>
      </c>
      <c r="N177" t="s">
        <v>458</v>
      </c>
      <c r="O177" t="s">
        <v>1415</v>
      </c>
      <c r="P177" s="608">
        <v>6.83E-2</v>
      </c>
      <c r="Q177" s="608">
        <v>0.2482</v>
      </c>
      <c r="S177" s="200">
        <f t="shared" si="4"/>
        <v>0</v>
      </c>
      <c r="T177" s="200">
        <f t="shared" si="5"/>
        <v>0</v>
      </c>
    </row>
    <row r="178" spans="1:20" ht="15">
      <c r="A178" s="415">
        <v>171</v>
      </c>
      <c r="B178" s="415">
        <v>150</v>
      </c>
      <c r="C178" s="66" t="s">
        <v>2409</v>
      </c>
      <c r="D178" s="66" t="s">
        <v>460</v>
      </c>
      <c r="E178" s="413" t="s">
        <v>2153</v>
      </c>
      <c r="F178" s="594">
        <v>0.1171</v>
      </c>
      <c r="G178" s="594">
        <v>0.312</v>
      </c>
      <c r="H178" s="594">
        <v>0.37040000000000001</v>
      </c>
      <c r="J178" s="195"/>
      <c r="K178" s="232"/>
      <c r="M178" t="s">
        <v>461</v>
      </c>
      <c r="N178" t="s">
        <v>460</v>
      </c>
      <c r="O178" t="s">
        <v>1280</v>
      </c>
      <c r="P178" s="608">
        <v>0.1171</v>
      </c>
      <c r="Q178" s="608">
        <v>0.312</v>
      </c>
      <c r="S178" s="200">
        <f t="shared" si="4"/>
        <v>0</v>
      </c>
      <c r="T178" s="200">
        <f t="shared" si="5"/>
        <v>0</v>
      </c>
    </row>
    <row r="179" spans="1:20" ht="15">
      <c r="A179" s="415">
        <v>172</v>
      </c>
      <c r="B179" s="415">
        <v>190</v>
      </c>
      <c r="C179" s="66" t="s">
        <v>2409</v>
      </c>
      <c r="D179" s="66" t="s">
        <v>462</v>
      </c>
      <c r="E179" s="413" t="s">
        <v>2154</v>
      </c>
      <c r="F179" s="594">
        <v>2.7699999999999999E-2</v>
      </c>
      <c r="G179" s="594">
        <v>0.1673</v>
      </c>
      <c r="H179" s="594">
        <v>0.1772</v>
      </c>
      <c r="J179" s="195"/>
      <c r="K179" s="232"/>
      <c r="M179" t="s">
        <v>463</v>
      </c>
      <c r="N179" t="s">
        <v>462</v>
      </c>
      <c r="O179" t="s">
        <v>1405</v>
      </c>
      <c r="P179" s="608">
        <v>2.7699999999999999E-2</v>
      </c>
      <c r="Q179" s="608">
        <v>0.1673</v>
      </c>
      <c r="S179" s="200">
        <f t="shared" si="4"/>
        <v>0</v>
      </c>
      <c r="T179" s="200">
        <f t="shared" si="5"/>
        <v>0</v>
      </c>
    </row>
    <row r="180" spans="1:20" ht="15">
      <c r="A180" s="415">
        <v>173</v>
      </c>
      <c r="B180" s="415">
        <v>178</v>
      </c>
      <c r="C180" s="66" t="s">
        <v>2409</v>
      </c>
      <c r="D180" s="66" t="s">
        <v>464</v>
      </c>
      <c r="E180" s="413" t="s">
        <v>2155</v>
      </c>
      <c r="F180" s="594">
        <v>2.4500000000000001E-2</v>
      </c>
      <c r="G180" s="594">
        <v>8.8200000000000001E-2</v>
      </c>
      <c r="H180" s="594">
        <v>0.12609999999999999</v>
      </c>
      <c r="J180" s="195"/>
      <c r="K180" s="232"/>
      <c r="M180" t="s">
        <v>465</v>
      </c>
      <c r="N180" t="s">
        <v>464</v>
      </c>
      <c r="O180" t="s">
        <v>1318</v>
      </c>
      <c r="P180" s="608">
        <v>2.4500000000000001E-2</v>
      </c>
      <c r="Q180" s="608">
        <v>8.8200000000000001E-2</v>
      </c>
      <c r="S180" s="200">
        <f t="shared" si="4"/>
        <v>0</v>
      </c>
      <c r="T180" s="200">
        <f t="shared" si="5"/>
        <v>0</v>
      </c>
    </row>
    <row r="181" spans="1:20" ht="15">
      <c r="A181" s="415">
        <v>174</v>
      </c>
      <c r="B181" s="415">
        <v>193</v>
      </c>
      <c r="C181" s="66" t="s">
        <v>2409</v>
      </c>
      <c r="D181" s="66" t="s">
        <v>466</v>
      </c>
      <c r="E181" s="413" t="s">
        <v>2156</v>
      </c>
      <c r="F181" s="594">
        <v>8.8999999999999996E-2</v>
      </c>
      <c r="G181" s="594">
        <v>0.2011</v>
      </c>
      <c r="H181" s="594">
        <v>0.21029999999999999</v>
      </c>
      <c r="J181" s="195"/>
      <c r="K181" s="232"/>
      <c r="M181" t="s">
        <v>467</v>
      </c>
      <c r="N181" t="s">
        <v>466</v>
      </c>
      <c r="O181" t="s">
        <v>1373</v>
      </c>
      <c r="P181" s="608">
        <v>8.8999999999999996E-2</v>
      </c>
      <c r="Q181" s="608">
        <v>0.2011</v>
      </c>
      <c r="S181" s="200">
        <f t="shared" si="4"/>
        <v>0</v>
      </c>
      <c r="T181" s="200">
        <f t="shared" si="5"/>
        <v>0</v>
      </c>
    </row>
    <row r="182" spans="1:20" ht="15">
      <c r="A182" s="415">
        <v>175</v>
      </c>
      <c r="B182" s="415">
        <v>247</v>
      </c>
      <c r="C182" s="66" t="s">
        <v>2406</v>
      </c>
      <c r="D182" s="66" t="s">
        <v>468</v>
      </c>
      <c r="E182" s="413" t="s">
        <v>2157</v>
      </c>
      <c r="F182" s="594">
        <v>7.4099999999999999E-2</v>
      </c>
      <c r="G182" s="594">
        <v>0.1754</v>
      </c>
      <c r="H182" s="594">
        <v>0.18920000000000001</v>
      </c>
      <c r="J182" s="195"/>
      <c r="K182" s="232"/>
      <c r="M182" t="s">
        <v>469</v>
      </c>
      <c r="N182" t="s">
        <v>468</v>
      </c>
      <c r="O182" t="s">
        <v>1345</v>
      </c>
      <c r="P182" s="608">
        <v>7.4099999999999999E-2</v>
      </c>
      <c r="Q182" s="608">
        <v>0.1754</v>
      </c>
      <c r="S182" s="200">
        <f t="shared" si="4"/>
        <v>0</v>
      </c>
      <c r="T182" s="200">
        <f t="shared" si="5"/>
        <v>0</v>
      </c>
    </row>
    <row r="183" spans="1:20" ht="15">
      <c r="A183" s="415">
        <v>176</v>
      </c>
      <c r="B183" s="415">
        <v>297</v>
      </c>
      <c r="C183" s="66" t="s">
        <v>2409</v>
      </c>
      <c r="D183" s="66" t="s">
        <v>470</v>
      </c>
      <c r="E183" s="413" t="s">
        <v>2158</v>
      </c>
      <c r="F183" s="594">
        <v>6.88E-2</v>
      </c>
      <c r="G183" s="594">
        <v>0.2369</v>
      </c>
      <c r="H183" s="594">
        <v>0.24840000000000001</v>
      </c>
      <c r="J183" s="195"/>
      <c r="K183" s="232"/>
      <c r="M183" t="s">
        <v>471</v>
      </c>
      <c r="N183" t="s">
        <v>470</v>
      </c>
      <c r="O183" t="s">
        <v>1288</v>
      </c>
      <c r="P183" s="608">
        <v>6.88E-2</v>
      </c>
      <c r="Q183" s="608">
        <v>0.2369</v>
      </c>
      <c r="S183" s="200">
        <f t="shared" si="4"/>
        <v>0</v>
      </c>
      <c r="T183" s="200">
        <f t="shared" si="5"/>
        <v>0</v>
      </c>
    </row>
    <row r="184" spans="1:20" ht="15">
      <c r="A184" s="415">
        <v>177</v>
      </c>
      <c r="B184" s="415">
        <v>78</v>
      </c>
      <c r="C184" s="66" t="s">
        <v>2404</v>
      </c>
      <c r="D184" s="66" t="s">
        <v>472</v>
      </c>
      <c r="E184" s="413" t="s">
        <v>2159</v>
      </c>
      <c r="F184" s="594">
        <v>6.5299999999999997E-2</v>
      </c>
      <c r="G184" s="594">
        <v>0.26650000000000001</v>
      </c>
      <c r="H184" s="594">
        <v>0.28129999999999999</v>
      </c>
      <c r="J184" s="195"/>
      <c r="K184" s="232"/>
      <c r="M184" t="s">
        <v>473</v>
      </c>
      <c r="N184" t="s">
        <v>472</v>
      </c>
      <c r="O184" t="s">
        <v>1338</v>
      </c>
      <c r="P184" s="608">
        <v>6.5299999999999997E-2</v>
      </c>
      <c r="Q184" s="608">
        <v>0.26650000000000001</v>
      </c>
      <c r="S184" s="200">
        <f t="shared" si="4"/>
        <v>0</v>
      </c>
      <c r="T184" s="200">
        <f t="shared" si="5"/>
        <v>0</v>
      </c>
    </row>
    <row r="185" spans="1:20" ht="15">
      <c r="A185" s="415">
        <v>178</v>
      </c>
      <c r="B185" s="415">
        <v>61</v>
      </c>
      <c r="C185" s="66" t="s">
        <v>2404</v>
      </c>
      <c r="D185" s="66" t="s">
        <v>474</v>
      </c>
      <c r="E185" s="413" t="s">
        <v>2160</v>
      </c>
      <c r="F185" s="594">
        <v>4.2999999999999997E-2</v>
      </c>
      <c r="G185" s="594">
        <v>0.12429999999999999</v>
      </c>
      <c r="H185" s="594">
        <v>0.1381</v>
      </c>
      <c r="J185" s="195"/>
      <c r="K185" s="232"/>
      <c r="M185" t="s">
        <v>475</v>
      </c>
      <c r="N185" t="s">
        <v>474</v>
      </c>
      <c r="O185" t="s">
        <v>1357</v>
      </c>
      <c r="P185" s="608">
        <v>4.2999999999999997E-2</v>
      </c>
      <c r="Q185" s="608">
        <v>0.12429999999999999</v>
      </c>
      <c r="S185" s="200">
        <f t="shared" si="4"/>
        <v>0</v>
      </c>
      <c r="T185" s="200">
        <f t="shared" si="5"/>
        <v>0</v>
      </c>
    </row>
    <row r="186" spans="1:20" ht="15">
      <c r="A186" s="415">
        <v>179</v>
      </c>
      <c r="B186" s="415">
        <v>128</v>
      </c>
      <c r="C186" s="66" t="s">
        <v>2404</v>
      </c>
      <c r="D186" s="66" t="s">
        <v>476</v>
      </c>
      <c r="E186" s="413" t="s">
        <v>2161</v>
      </c>
      <c r="F186" s="594">
        <v>5.7000000000000002E-2</v>
      </c>
      <c r="G186" s="594">
        <v>0.18909999999999999</v>
      </c>
      <c r="H186" s="594">
        <v>0.19470000000000001</v>
      </c>
      <c r="J186" s="195"/>
      <c r="K186" s="232"/>
      <c r="M186" t="s">
        <v>477</v>
      </c>
      <c r="N186" t="s">
        <v>476</v>
      </c>
      <c r="O186" t="s">
        <v>1355</v>
      </c>
      <c r="P186" s="608">
        <v>5.7000000000000002E-2</v>
      </c>
      <c r="Q186" s="608">
        <v>0.18909999999999999</v>
      </c>
      <c r="S186" s="200">
        <f t="shared" si="4"/>
        <v>0</v>
      </c>
      <c r="T186" s="200">
        <f t="shared" si="5"/>
        <v>0</v>
      </c>
    </row>
    <row r="187" spans="1:20" ht="15">
      <c r="A187" s="415">
        <v>180</v>
      </c>
      <c r="B187" s="415">
        <v>176</v>
      </c>
      <c r="C187" s="66" t="s">
        <v>2404</v>
      </c>
      <c r="D187" s="66" t="s">
        <v>478</v>
      </c>
      <c r="E187" s="413" t="s">
        <v>2162</v>
      </c>
      <c r="F187" s="594">
        <v>6.5600000000000006E-2</v>
      </c>
      <c r="G187" s="594">
        <v>0.21940000000000001</v>
      </c>
      <c r="H187" s="594">
        <v>0.26100000000000001</v>
      </c>
      <c r="J187" s="195"/>
      <c r="K187" s="232"/>
      <c r="M187" t="s">
        <v>479</v>
      </c>
      <c r="N187" t="s">
        <v>478</v>
      </c>
      <c r="O187" t="s">
        <v>1215</v>
      </c>
      <c r="P187" s="608">
        <v>6.5600000000000006E-2</v>
      </c>
      <c r="Q187" s="608">
        <v>0.21940000000000001</v>
      </c>
      <c r="S187" s="200">
        <f t="shared" si="4"/>
        <v>0</v>
      </c>
      <c r="T187" s="200">
        <f t="shared" si="5"/>
        <v>0</v>
      </c>
    </row>
    <row r="188" spans="1:20" ht="15">
      <c r="A188" s="415">
        <v>181</v>
      </c>
      <c r="B188" s="415">
        <v>192</v>
      </c>
      <c r="C188" s="66" t="s">
        <v>2404</v>
      </c>
      <c r="D188" s="66" t="s">
        <v>480</v>
      </c>
      <c r="E188" s="413" t="s">
        <v>2163</v>
      </c>
      <c r="F188" s="594">
        <v>0.1162</v>
      </c>
      <c r="G188" s="594">
        <v>0.36130000000000001</v>
      </c>
      <c r="H188" s="594">
        <v>0.41889999999999999</v>
      </c>
      <c r="J188" s="195"/>
      <c r="K188" s="232"/>
      <c r="M188" t="s">
        <v>481</v>
      </c>
      <c r="N188" t="s">
        <v>480</v>
      </c>
      <c r="O188" t="s">
        <v>1369</v>
      </c>
      <c r="P188" s="608">
        <v>0.1162</v>
      </c>
      <c r="Q188" s="608">
        <v>0.36130000000000001</v>
      </c>
      <c r="S188" s="200">
        <f t="shared" si="4"/>
        <v>0</v>
      </c>
      <c r="T188" s="200">
        <f t="shared" si="5"/>
        <v>0</v>
      </c>
    </row>
    <row r="189" spans="1:20" ht="15">
      <c r="A189" s="415">
        <v>182</v>
      </c>
      <c r="B189" s="415">
        <v>275</v>
      </c>
      <c r="C189" s="66" t="s">
        <v>2404</v>
      </c>
      <c r="D189" s="66" t="s">
        <v>482</v>
      </c>
      <c r="E189" s="413" t="s">
        <v>2164</v>
      </c>
      <c r="F189" s="594">
        <v>4.02E-2</v>
      </c>
      <c r="G189" s="594">
        <v>0.21010000000000001</v>
      </c>
      <c r="H189" s="594">
        <v>0.21929999999999999</v>
      </c>
      <c r="J189" s="195"/>
      <c r="K189" s="232"/>
      <c r="M189" t="s">
        <v>483</v>
      </c>
      <c r="N189" t="s">
        <v>482</v>
      </c>
      <c r="O189" t="s">
        <v>1325</v>
      </c>
      <c r="P189" s="608">
        <v>4.02E-2</v>
      </c>
      <c r="Q189" s="608">
        <v>0.21010000000000001</v>
      </c>
      <c r="S189" s="200">
        <f t="shared" si="4"/>
        <v>0</v>
      </c>
      <c r="T189" s="200">
        <f t="shared" si="5"/>
        <v>0</v>
      </c>
    </row>
    <row r="190" spans="1:20" ht="15">
      <c r="A190" s="415">
        <v>183</v>
      </c>
      <c r="B190" s="415">
        <v>272</v>
      </c>
      <c r="C190" s="66" t="s">
        <v>2404</v>
      </c>
      <c r="D190" s="66" t="s">
        <v>484</v>
      </c>
      <c r="E190" s="413" t="s">
        <v>2165</v>
      </c>
      <c r="F190" s="594">
        <v>2.7699999999999999E-2</v>
      </c>
      <c r="G190" s="594">
        <v>0.2092</v>
      </c>
      <c r="H190" s="594">
        <v>0.19750000000000001</v>
      </c>
      <c r="J190" s="195"/>
      <c r="K190" s="232"/>
      <c r="M190" t="s">
        <v>485</v>
      </c>
      <c r="N190" t="s">
        <v>484</v>
      </c>
      <c r="O190" t="s">
        <v>1438</v>
      </c>
      <c r="P190" s="608">
        <v>2.7699999999999999E-2</v>
      </c>
      <c r="Q190" s="608">
        <v>0.2092</v>
      </c>
      <c r="S190" s="200">
        <f t="shared" si="4"/>
        <v>0</v>
      </c>
      <c r="T190" s="200">
        <f t="shared" si="5"/>
        <v>0</v>
      </c>
    </row>
    <row r="191" spans="1:20" ht="15">
      <c r="A191" s="415">
        <v>184</v>
      </c>
      <c r="B191" s="415">
        <v>115</v>
      </c>
      <c r="C191" s="66" t="s">
        <v>2404</v>
      </c>
      <c r="D191" s="66" t="s">
        <v>486</v>
      </c>
      <c r="E191" s="413" t="s">
        <v>2166</v>
      </c>
      <c r="F191" s="594">
        <v>3.6200000000000003E-2</v>
      </c>
      <c r="G191" s="594">
        <v>0.23760000000000001</v>
      </c>
      <c r="H191" s="594">
        <v>0.2492</v>
      </c>
      <c r="J191" s="195"/>
      <c r="K191" s="232"/>
      <c r="M191" t="s">
        <v>487</v>
      </c>
      <c r="N191" t="s">
        <v>486</v>
      </c>
      <c r="O191" t="s">
        <v>1363</v>
      </c>
      <c r="P191" s="608">
        <v>3.6200000000000003E-2</v>
      </c>
      <c r="Q191" s="608">
        <v>0.23760000000000001</v>
      </c>
      <c r="S191" s="200">
        <f t="shared" si="4"/>
        <v>0</v>
      </c>
      <c r="T191" s="200">
        <f t="shared" si="5"/>
        <v>0</v>
      </c>
    </row>
    <row r="192" spans="1:20" ht="15">
      <c r="A192" s="415">
        <v>185</v>
      </c>
      <c r="B192" s="415">
        <v>89</v>
      </c>
      <c r="C192" s="66" t="s">
        <v>2405</v>
      </c>
      <c r="D192" s="66" t="s">
        <v>2305</v>
      </c>
      <c r="E192" s="413" t="s">
        <v>2426</v>
      </c>
      <c r="F192" s="595">
        <v>3.8699999999999998E-2</v>
      </c>
      <c r="G192" s="595">
        <v>0.1535</v>
      </c>
      <c r="H192" s="595">
        <v>0.1535</v>
      </c>
      <c r="J192" s="195"/>
      <c r="K192" s="232"/>
      <c r="M192" t="s">
        <v>2304</v>
      </c>
      <c r="N192" t="s">
        <v>2305</v>
      </c>
      <c r="O192" t="s">
        <v>2333</v>
      </c>
      <c r="P192" s="608">
        <v>3.8699999999999998E-2</v>
      </c>
      <c r="Q192" s="608">
        <v>0.1535</v>
      </c>
      <c r="S192" s="200">
        <f t="shared" si="4"/>
        <v>0</v>
      </c>
      <c r="T192" s="200">
        <f t="shared" si="5"/>
        <v>0</v>
      </c>
    </row>
    <row r="193" spans="1:20" ht="15">
      <c r="A193" s="415">
        <v>186</v>
      </c>
      <c r="B193" s="415">
        <v>313</v>
      </c>
      <c r="C193" s="66" t="s">
        <v>2407</v>
      </c>
      <c r="D193" s="66" t="s">
        <v>488</v>
      </c>
      <c r="E193" s="413" t="s">
        <v>2167</v>
      </c>
      <c r="F193" s="594">
        <v>7.5899999999999995E-2</v>
      </c>
      <c r="G193" s="594">
        <v>0.216</v>
      </c>
      <c r="H193" s="594">
        <v>0.2341</v>
      </c>
      <c r="J193" s="195"/>
      <c r="K193" s="232"/>
      <c r="M193" t="s">
        <v>489</v>
      </c>
      <c r="N193" t="s">
        <v>488</v>
      </c>
      <c r="O193" t="s">
        <v>1352</v>
      </c>
      <c r="P193" s="608">
        <v>7.5899999999999995E-2</v>
      </c>
      <c r="Q193" s="608">
        <v>0.216</v>
      </c>
      <c r="S193" s="200">
        <f t="shared" si="4"/>
        <v>0</v>
      </c>
      <c r="T193" s="200">
        <f t="shared" si="5"/>
        <v>0</v>
      </c>
    </row>
    <row r="194" spans="1:20" ht="15">
      <c r="A194" s="415">
        <v>187</v>
      </c>
      <c r="B194" s="415">
        <v>88</v>
      </c>
      <c r="C194" s="66" t="s">
        <v>2409</v>
      </c>
      <c r="D194" s="66" t="s">
        <v>490</v>
      </c>
      <c r="E194" s="413" t="s">
        <v>2168</v>
      </c>
      <c r="F194" s="594">
        <v>1.8800000000000001E-2</v>
      </c>
      <c r="G194" s="594">
        <v>0.191</v>
      </c>
      <c r="H194" s="594">
        <v>0.156</v>
      </c>
      <c r="J194" s="195"/>
      <c r="K194" s="232"/>
      <c r="M194" t="s">
        <v>491</v>
      </c>
      <c r="N194" t="s">
        <v>490</v>
      </c>
      <c r="O194" t="s">
        <v>1389</v>
      </c>
      <c r="P194" s="608">
        <v>1.8800000000000001E-2</v>
      </c>
      <c r="Q194" s="608">
        <v>0.191</v>
      </c>
      <c r="S194" s="200">
        <f t="shared" si="4"/>
        <v>0</v>
      </c>
      <c r="T194" s="200">
        <f t="shared" si="5"/>
        <v>0</v>
      </c>
    </row>
    <row r="195" spans="1:20" ht="15">
      <c r="A195" s="415">
        <v>188</v>
      </c>
      <c r="B195" s="415">
        <v>187</v>
      </c>
      <c r="C195" s="66" t="s">
        <v>2409</v>
      </c>
      <c r="D195" s="66" t="s">
        <v>492</v>
      </c>
      <c r="E195" s="413" t="s">
        <v>2169</v>
      </c>
      <c r="F195" s="594">
        <v>3.5400000000000001E-2</v>
      </c>
      <c r="G195" s="594">
        <v>0.1694</v>
      </c>
      <c r="H195" s="594">
        <v>0.17180000000000001</v>
      </c>
      <c r="J195" s="195"/>
      <c r="K195" s="232"/>
      <c r="M195" t="s">
        <v>493</v>
      </c>
      <c r="N195" t="s">
        <v>492</v>
      </c>
      <c r="O195" t="s">
        <v>1412</v>
      </c>
      <c r="P195" s="608">
        <v>3.5400000000000001E-2</v>
      </c>
      <c r="Q195" s="608">
        <v>0.1694</v>
      </c>
      <c r="S195" s="200">
        <f t="shared" si="4"/>
        <v>0</v>
      </c>
      <c r="T195" s="200">
        <f t="shared" si="5"/>
        <v>0</v>
      </c>
    </row>
    <row r="196" spans="1:20" ht="15">
      <c r="A196" s="415">
        <v>189</v>
      </c>
      <c r="B196" s="415">
        <v>87</v>
      </c>
      <c r="C196" s="66" t="s">
        <v>2407</v>
      </c>
      <c r="D196" s="66" t="s">
        <v>494</v>
      </c>
      <c r="E196" s="413" t="s">
        <v>2170</v>
      </c>
      <c r="F196" s="594">
        <v>4.7000000000000002E-3</v>
      </c>
      <c r="G196" s="594">
        <v>0.186</v>
      </c>
      <c r="H196" s="594">
        <v>0.21540000000000001</v>
      </c>
      <c r="J196" s="195"/>
      <c r="K196" s="232"/>
      <c r="M196" t="s">
        <v>976</v>
      </c>
      <c r="N196" t="s">
        <v>494</v>
      </c>
      <c r="O196" t="s">
        <v>2464</v>
      </c>
      <c r="P196" s="608">
        <v>4.7000000000000002E-3</v>
      </c>
      <c r="Q196" s="608">
        <v>0.186</v>
      </c>
      <c r="S196" s="200">
        <f t="shared" si="4"/>
        <v>0</v>
      </c>
      <c r="T196" s="200">
        <f t="shared" si="5"/>
        <v>0</v>
      </c>
    </row>
    <row r="197" spans="1:20" ht="15">
      <c r="A197" s="415">
        <v>190</v>
      </c>
      <c r="B197" s="415">
        <v>167</v>
      </c>
      <c r="C197" s="66" t="s">
        <v>2409</v>
      </c>
      <c r="D197" s="66" t="s">
        <v>495</v>
      </c>
      <c r="E197" s="413" t="s">
        <v>2171</v>
      </c>
      <c r="F197" s="594">
        <v>1.9199999999999998E-2</v>
      </c>
      <c r="G197" s="594">
        <v>0.1845</v>
      </c>
      <c r="H197" s="594">
        <v>0.1862</v>
      </c>
      <c r="J197" s="195"/>
      <c r="K197" s="232"/>
      <c r="M197" t="s">
        <v>496</v>
      </c>
      <c r="N197" t="s">
        <v>495</v>
      </c>
      <c r="O197" t="s">
        <v>1463</v>
      </c>
      <c r="P197" s="608">
        <v>1.9199999999999998E-2</v>
      </c>
      <c r="Q197" s="608">
        <v>0.1845</v>
      </c>
      <c r="S197" s="200">
        <f t="shared" si="4"/>
        <v>0</v>
      </c>
      <c r="T197" s="200">
        <f t="shared" si="5"/>
        <v>0</v>
      </c>
    </row>
    <row r="198" spans="1:20" ht="15">
      <c r="A198" s="415">
        <v>191</v>
      </c>
      <c r="B198" s="415">
        <v>180</v>
      </c>
      <c r="C198" s="66" t="s">
        <v>2409</v>
      </c>
      <c r="D198" s="66" t="s">
        <v>497</v>
      </c>
      <c r="E198" s="413" t="s">
        <v>2172</v>
      </c>
      <c r="F198" s="594">
        <v>2.5600000000000001E-2</v>
      </c>
      <c r="G198" s="594">
        <v>0.40439999999999998</v>
      </c>
      <c r="H198" s="594">
        <v>0.39150000000000001</v>
      </c>
      <c r="J198" s="195"/>
      <c r="K198" s="232"/>
      <c r="M198" t="s">
        <v>498</v>
      </c>
      <c r="N198" t="s">
        <v>497</v>
      </c>
      <c r="O198" t="s">
        <v>1346</v>
      </c>
      <c r="P198" s="608">
        <v>2.5600000000000001E-2</v>
      </c>
      <c r="Q198" s="608">
        <v>0.40439999999999998</v>
      </c>
      <c r="S198" s="200">
        <f t="shared" si="4"/>
        <v>0</v>
      </c>
      <c r="T198" s="200">
        <f t="shared" si="5"/>
        <v>0</v>
      </c>
    </row>
    <row r="199" spans="1:20" ht="15">
      <c r="A199" s="415">
        <v>192</v>
      </c>
      <c r="B199" s="415">
        <v>277</v>
      </c>
      <c r="C199" s="66" t="s">
        <v>2402</v>
      </c>
      <c r="D199" s="66" t="s">
        <v>499</v>
      </c>
      <c r="E199" s="413" t="s">
        <v>2173</v>
      </c>
      <c r="F199" s="594">
        <v>2.7199999999999998E-2</v>
      </c>
      <c r="G199" s="594">
        <v>0.2366</v>
      </c>
      <c r="H199" s="594">
        <v>0.28649999999999998</v>
      </c>
      <c r="J199" s="195"/>
      <c r="K199" s="232"/>
      <c r="M199" t="s">
        <v>500</v>
      </c>
      <c r="N199" t="s">
        <v>499</v>
      </c>
      <c r="O199" t="s">
        <v>1339</v>
      </c>
      <c r="P199" s="608">
        <v>2.7199999999999998E-2</v>
      </c>
      <c r="Q199" s="608">
        <v>0.2366</v>
      </c>
      <c r="S199" s="200">
        <f t="shared" ref="S199:S262" si="6">+F199-P199</f>
        <v>0</v>
      </c>
      <c r="T199" s="200">
        <f t="shared" ref="T199:T262" si="7">+G199-Q199</f>
        <v>0</v>
      </c>
    </row>
    <row r="200" spans="1:20" ht="15">
      <c r="A200" s="415">
        <v>193</v>
      </c>
      <c r="B200" s="415">
        <v>179</v>
      </c>
      <c r="C200" s="66" t="s">
        <v>2402</v>
      </c>
      <c r="D200" s="66" t="s">
        <v>501</v>
      </c>
      <c r="E200" s="413" t="s">
        <v>2174</v>
      </c>
      <c r="F200" s="594">
        <v>5.8599999999999999E-2</v>
      </c>
      <c r="G200" s="594">
        <v>0.41220000000000001</v>
      </c>
      <c r="H200" s="594">
        <v>0.58979999999999999</v>
      </c>
      <c r="J200" s="195"/>
      <c r="K200" s="232"/>
      <c r="M200" t="s">
        <v>502</v>
      </c>
      <c r="N200" t="s">
        <v>501</v>
      </c>
      <c r="O200" t="s">
        <v>1247</v>
      </c>
      <c r="P200" s="608">
        <v>5.8599999999999999E-2</v>
      </c>
      <c r="Q200" s="608">
        <v>0.41220000000000001</v>
      </c>
      <c r="S200" s="200">
        <f t="shared" si="6"/>
        <v>0</v>
      </c>
      <c r="T200" s="200">
        <f t="shared" si="7"/>
        <v>0</v>
      </c>
    </row>
    <row r="201" spans="1:20" ht="15">
      <c r="A201" s="415">
        <v>194</v>
      </c>
      <c r="B201" s="415">
        <v>158</v>
      </c>
      <c r="C201" s="66" t="s">
        <v>2402</v>
      </c>
      <c r="D201" s="66" t="s">
        <v>503</v>
      </c>
      <c r="E201" s="413" t="s">
        <v>2175</v>
      </c>
      <c r="F201" s="594">
        <v>4.7100000000000003E-2</v>
      </c>
      <c r="G201" s="594">
        <v>0.28860000000000002</v>
      </c>
      <c r="H201" s="594">
        <v>0.26750000000000002</v>
      </c>
      <c r="J201" s="195"/>
      <c r="K201" s="232"/>
      <c r="M201" t="s">
        <v>504</v>
      </c>
      <c r="N201" t="s">
        <v>503</v>
      </c>
      <c r="O201" t="s">
        <v>1403</v>
      </c>
      <c r="P201" s="608">
        <v>4.7100000000000003E-2</v>
      </c>
      <c r="Q201" s="608">
        <v>0.28860000000000002</v>
      </c>
      <c r="S201" s="200">
        <f t="shared" si="6"/>
        <v>0</v>
      </c>
      <c r="T201" s="200">
        <f t="shared" si="7"/>
        <v>0</v>
      </c>
    </row>
    <row r="202" spans="1:20" ht="15">
      <c r="A202" s="415">
        <v>195</v>
      </c>
      <c r="B202" s="415">
        <v>262</v>
      </c>
      <c r="C202" s="66" t="s">
        <v>2411</v>
      </c>
      <c r="D202" s="66" t="s">
        <v>505</v>
      </c>
      <c r="E202" s="413" t="s">
        <v>2176</v>
      </c>
      <c r="F202" s="594">
        <v>6.5299999999999997E-2</v>
      </c>
      <c r="G202" s="594">
        <v>0.1648</v>
      </c>
      <c r="H202" s="594">
        <v>0.16500000000000001</v>
      </c>
      <c r="J202" s="195"/>
      <c r="K202" s="232"/>
      <c r="M202" t="s">
        <v>506</v>
      </c>
      <c r="N202" t="s">
        <v>505</v>
      </c>
      <c r="O202" t="s">
        <v>1422</v>
      </c>
      <c r="P202" s="608">
        <v>6.5299999999999997E-2</v>
      </c>
      <c r="Q202" s="608">
        <v>0.1648</v>
      </c>
      <c r="S202" s="200">
        <f t="shared" si="6"/>
        <v>0</v>
      </c>
      <c r="T202" s="200">
        <f t="shared" si="7"/>
        <v>0</v>
      </c>
    </row>
    <row r="203" spans="1:20" ht="15">
      <c r="A203" s="415">
        <v>196</v>
      </c>
      <c r="B203" s="415">
        <v>215</v>
      </c>
      <c r="C203" s="66" t="s">
        <v>2411</v>
      </c>
      <c r="D203" s="66" t="s">
        <v>507</v>
      </c>
      <c r="E203" s="413" t="s">
        <v>2177</v>
      </c>
      <c r="F203" s="594">
        <v>4.4600000000000001E-2</v>
      </c>
      <c r="G203" s="594">
        <v>0.152</v>
      </c>
      <c r="H203" s="594">
        <v>0.18640000000000001</v>
      </c>
      <c r="J203" s="195"/>
      <c r="K203" s="232"/>
      <c r="M203" t="s">
        <v>508</v>
      </c>
      <c r="N203" t="s">
        <v>507</v>
      </c>
      <c r="O203" t="s">
        <v>1381</v>
      </c>
      <c r="P203" s="608">
        <v>4.4600000000000001E-2</v>
      </c>
      <c r="Q203" s="608">
        <v>0.152</v>
      </c>
      <c r="S203" s="200">
        <f t="shared" si="6"/>
        <v>0</v>
      </c>
      <c r="T203" s="200">
        <f t="shared" si="7"/>
        <v>0</v>
      </c>
    </row>
    <row r="204" spans="1:20" ht="15">
      <c r="A204" s="415">
        <v>197</v>
      </c>
      <c r="B204" s="415">
        <v>245</v>
      </c>
      <c r="C204" s="66" t="s">
        <v>2411</v>
      </c>
      <c r="D204" s="66" t="s">
        <v>509</v>
      </c>
      <c r="E204" s="413" t="s">
        <v>2178</v>
      </c>
      <c r="F204" s="594">
        <v>2.4299999999999999E-2</v>
      </c>
      <c r="G204" s="594">
        <v>0.14369999999999999</v>
      </c>
      <c r="H204" s="594">
        <v>0.1368</v>
      </c>
      <c r="J204" s="195"/>
      <c r="K204" s="232"/>
      <c r="M204" t="s">
        <v>510</v>
      </c>
      <c r="N204" t="s">
        <v>509</v>
      </c>
      <c r="O204" t="s">
        <v>1431</v>
      </c>
      <c r="P204" s="608">
        <v>2.4299999999999999E-2</v>
      </c>
      <c r="Q204" s="608">
        <v>0.14369999999999999</v>
      </c>
      <c r="S204" s="200">
        <f t="shared" si="6"/>
        <v>0</v>
      </c>
      <c r="T204" s="200">
        <f t="shared" si="7"/>
        <v>0</v>
      </c>
    </row>
    <row r="205" spans="1:20" ht="15">
      <c r="A205" s="415">
        <v>198</v>
      </c>
      <c r="B205" s="415">
        <v>57</v>
      </c>
      <c r="C205" s="66" t="s">
        <v>2411</v>
      </c>
      <c r="D205" s="66" t="s">
        <v>511</v>
      </c>
      <c r="E205" s="413" t="s">
        <v>2179</v>
      </c>
      <c r="F205" s="594">
        <v>7.51E-2</v>
      </c>
      <c r="G205" s="594">
        <v>0.28239999999999998</v>
      </c>
      <c r="H205" s="594">
        <v>0.14349999999999999</v>
      </c>
      <c r="J205" s="195"/>
      <c r="K205" s="232"/>
      <c r="M205" t="s">
        <v>512</v>
      </c>
      <c r="N205" t="s">
        <v>511</v>
      </c>
      <c r="O205" t="s">
        <v>1220</v>
      </c>
      <c r="P205" s="608">
        <v>7.51E-2</v>
      </c>
      <c r="Q205" s="608">
        <v>0.28239999999999998</v>
      </c>
      <c r="S205" s="200">
        <f t="shared" si="6"/>
        <v>0</v>
      </c>
      <c r="T205" s="200">
        <f t="shared" si="7"/>
        <v>0</v>
      </c>
    </row>
    <row r="206" spans="1:20" ht="15">
      <c r="A206" s="415">
        <v>199</v>
      </c>
      <c r="B206" s="415">
        <v>49</v>
      </c>
      <c r="C206" s="66" t="s">
        <v>2411</v>
      </c>
      <c r="D206" s="66" t="s">
        <v>513</v>
      </c>
      <c r="E206" s="413" t="s">
        <v>2180</v>
      </c>
      <c r="F206" s="594">
        <v>3.95E-2</v>
      </c>
      <c r="G206" s="594">
        <v>0.16789999999999999</v>
      </c>
      <c r="H206" s="594">
        <v>0.16569999999999999</v>
      </c>
      <c r="J206" s="195"/>
      <c r="K206" s="232"/>
      <c r="M206" t="s">
        <v>514</v>
      </c>
      <c r="N206" t="s">
        <v>513</v>
      </c>
      <c r="O206" t="s">
        <v>1446</v>
      </c>
      <c r="P206" s="608">
        <v>3.95E-2</v>
      </c>
      <c r="Q206" s="608">
        <v>0.16789999999999999</v>
      </c>
      <c r="S206" s="200">
        <f t="shared" si="6"/>
        <v>0</v>
      </c>
      <c r="T206" s="200">
        <f t="shared" si="7"/>
        <v>0</v>
      </c>
    </row>
    <row r="207" spans="1:20" ht="15">
      <c r="A207" s="415">
        <v>200</v>
      </c>
      <c r="B207" s="415">
        <v>185</v>
      </c>
      <c r="C207" s="66" t="s">
        <v>2411</v>
      </c>
      <c r="D207" s="66" t="s">
        <v>515</v>
      </c>
      <c r="E207" s="413" t="s">
        <v>2181</v>
      </c>
      <c r="F207" s="594">
        <v>3.4299999999999997E-2</v>
      </c>
      <c r="G207" s="594">
        <v>0.14729999999999999</v>
      </c>
      <c r="H207" s="594">
        <v>0.13300000000000001</v>
      </c>
      <c r="J207" s="195"/>
      <c r="K207" s="232"/>
      <c r="M207" t="s">
        <v>516</v>
      </c>
      <c r="N207" t="s">
        <v>515</v>
      </c>
      <c r="O207" t="s">
        <v>1429</v>
      </c>
      <c r="P207" s="608">
        <v>3.4299999999999997E-2</v>
      </c>
      <c r="Q207" s="608">
        <v>0.14729999999999999</v>
      </c>
      <c r="S207" s="200">
        <f t="shared" si="6"/>
        <v>0</v>
      </c>
      <c r="T207" s="200">
        <f t="shared" si="7"/>
        <v>0</v>
      </c>
    </row>
    <row r="208" spans="1:20" ht="15">
      <c r="A208" s="415">
        <v>201</v>
      </c>
      <c r="B208" s="415">
        <v>203</v>
      </c>
      <c r="C208" s="66" t="s">
        <v>2411</v>
      </c>
      <c r="D208" s="66" t="s">
        <v>517</v>
      </c>
      <c r="E208" s="413" t="s">
        <v>2182</v>
      </c>
      <c r="F208" s="594">
        <v>7.4200000000000002E-2</v>
      </c>
      <c r="G208" s="594">
        <v>0.1724</v>
      </c>
      <c r="H208" s="594">
        <v>0.17419999999999999</v>
      </c>
      <c r="J208" s="195"/>
      <c r="K208" s="232"/>
      <c r="M208" t="s">
        <v>518</v>
      </c>
      <c r="N208" t="s">
        <v>517</v>
      </c>
      <c r="O208" t="s">
        <v>1253</v>
      </c>
      <c r="P208" s="608">
        <v>7.4200000000000002E-2</v>
      </c>
      <c r="Q208" s="608">
        <v>0.1724</v>
      </c>
      <c r="S208" s="200">
        <f t="shared" si="6"/>
        <v>0</v>
      </c>
      <c r="T208" s="200">
        <f t="shared" si="7"/>
        <v>0</v>
      </c>
    </row>
    <row r="209" spans="1:20" ht="15">
      <c r="A209" s="415">
        <v>202</v>
      </c>
      <c r="B209" s="415">
        <v>3</v>
      </c>
      <c r="C209" s="66" t="s">
        <v>2411</v>
      </c>
      <c r="D209" s="66" t="s">
        <v>519</v>
      </c>
      <c r="E209" s="413" t="s">
        <v>2183</v>
      </c>
      <c r="F209" s="594">
        <v>6.8500000000000005E-2</v>
      </c>
      <c r="G209" s="594">
        <v>0.1835</v>
      </c>
      <c r="H209" s="594">
        <v>0.19359999999999999</v>
      </c>
      <c r="J209" s="195"/>
      <c r="K209" s="232"/>
      <c r="M209" t="s">
        <v>520</v>
      </c>
      <c r="N209" t="s">
        <v>519</v>
      </c>
      <c r="O209" t="s">
        <v>1364</v>
      </c>
      <c r="P209" s="608">
        <v>6.8500000000000005E-2</v>
      </c>
      <c r="Q209" s="608">
        <v>0.1835</v>
      </c>
      <c r="S209" s="200">
        <f t="shared" si="6"/>
        <v>0</v>
      </c>
      <c r="T209" s="200">
        <f t="shared" si="7"/>
        <v>0</v>
      </c>
    </row>
    <row r="210" spans="1:20" ht="15">
      <c r="A210" s="415">
        <v>203</v>
      </c>
      <c r="B210" s="415">
        <v>51</v>
      </c>
      <c r="C210" s="66" t="s">
        <v>2411</v>
      </c>
      <c r="D210" s="66" t="s">
        <v>521</v>
      </c>
      <c r="E210" s="413" t="s">
        <v>2184</v>
      </c>
      <c r="F210" s="594">
        <v>4.24E-2</v>
      </c>
      <c r="G210" s="594">
        <v>0.15970000000000001</v>
      </c>
      <c r="H210" s="594">
        <v>0.15210000000000001</v>
      </c>
      <c r="J210" s="195"/>
      <c r="K210" s="232"/>
      <c r="M210" t="s">
        <v>522</v>
      </c>
      <c r="N210" t="s">
        <v>521</v>
      </c>
      <c r="O210" t="s">
        <v>1234</v>
      </c>
      <c r="P210" s="608">
        <v>4.24E-2</v>
      </c>
      <c r="Q210" s="608">
        <v>0.15970000000000001</v>
      </c>
      <c r="S210" s="200">
        <f t="shared" si="6"/>
        <v>0</v>
      </c>
      <c r="T210" s="200">
        <f t="shared" si="7"/>
        <v>0</v>
      </c>
    </row>
    <row r="211" spans="1:20" ht="15">
      <c r="A211" s="415">
        <v>204</v>
      </c>
      <c r="B211" s="415">
        <v>306</v>
      </c>
      <c r="C211" s="66" t="s">
        <v>2411</v>
      </c>
      <c r="D211" s="66" t="s">
        <v>523</v>
      </c>
      <c r="E211" s="413" t="s">
        <v>2185</v>
      </c>
      <c r="F211" s="594">
        <v>2.8299999999999999E-2</v>
      </c>
      <c r="G211" s="594">
        <v>0.16389999999999999</v>
      </c>
      <c r="H211" s="594">
        <v>0.1676</v>
      </c>
      <c r="J211" s="195"/>
      <c r="K211" s="232"/>
      <c r="M211" t="s">
        <v>524</v>
      </c>
      <c r="N211" t="s">
        <v>523</v>
      </c>
      <c r="O211" t="s">
        <v>1372</v>
      </c>
      <c r="P211" s="608">
        <v>2.8299999999999999E-2</v>
      </c>
      <c r="Q211" s="608">
        <v>0.16389999999999999</v>
      </c>
      <c r="S211" s="200">
        <f t="shared" si="6"/>
        <v>0</v>
      </c>
      <c r="T211" s="200">
        <f t="shared" si="7"/>
        <v>0</v>
      </c>
    </row>
    <row r="212" spans="1:20" ht="15">
      <c r="A212" s="415">
        <v>205</v>
      </c>
      <c r="B212" s="415">
        <v>186</v>
      </c>
      <c r="C212" s="66" t="s">
        <v>2411</v>
      </c>
      <c r="D212" s="66" t="s">
        <v>525</v>
      </c>
      <c r="E212" s="413" t="s">
        <v>2186</v>
      </c>
      <c r="F212" s="594">
        <v>3.1300000000000001E-2</v>
      </c>
      <c r="G212" s="594">
        <v>0.12809999999999999</v>
      </c>
      <c r="H212" s="594">
        <v>0.1133</v>
      </c>
      <c r="J212" s="195"/>
      <c r="K212" s="232"/>
      <c r="M212" t="s">
        <v>526</v>
      </c>
      <c r="N212" t="s">
        <v>525</v>
      </c>
      <c r="O212" t="s">
        <v>1271</v>
      </c>
      <c r="P212" s="608">
        <v>3.1300000000000001E-2</v>
      </c>
      <c r="Q212" s="608">
        <v>0.12809999999999999</v>
      </c>
      <c r="S212" s="200">
        <f t="shared" si="6"/>
        <v>0</v>
      </c>
      <c r="T212" s="200">
        <f t="shared" si="7"/>
        <v>0</v>
      </c>
    </row>
    <row r="213" spans="1:20" ht="15">
      <c r="A213" s="415">
        <v>206</v>
      </c>
      <c r="B213" s="415">
        <v>60</v>
      </c>
      <c r="C213" s="66" t="s">
        <v>2411</v>
      </c>
      <c r="D213" s="66" t="s">
        <v>527</v>
      </c>
      <c r="E213" s="413" t="s">
        <v>2187</v>
      </c>
      <c r="F213" s="594">
        <v>3.9699999999999999E-2</v>
      </c>
      <c r="G213" s="594">
        <v>0.14940000000000001</v>
      </c>
      <c r="H213" s="594">
        <v>0.16539999999999999</v>
      </c>
      <c r="J213" s="195"/>
      <c r="K213" s="232"/>
      <c r="M213" t="s">
        <v>528</v>
      </c>
      <c r="N213" t="s">
        <v>527</v>
      </c>
      <c r="O213" t="s">
        <v>1210</v>
      </c>
      <c r="P213" s="608">
        <v>3.9699999999999999E-2</v>
      </c>
      <c r="Q213" s="608">
        <v>0.14940000000000001</v>
      </c>
      <c r="S213" s="200">
        <f t="shared" si="6"/>
        <v>0</v>
      </c>
      <c r="T213" s="200">
        <f t="shared" si="7"/>
        <v>0</v>
      </c>
    </row>
    <row r="214" spans="1:20" ht="15">
      <c r="A214" s="415">
        <v>207</v>
      </c>
      <c r="B214" s="415">
        <v>182</v>
      </c>
      <c r="C214" s="66" t="s">
        <v>2411</v>
      </c>
      <c r="D214" s="66" t="s">
        <v>529</v>
      </c>
      <c r="E214" s="413" t="s">
        <v>2188</v>
      </c>
      <c r="F214" s="594">
        <v>3.6299999999999999E-2</v>
      </c>
      <c r="G214" s="594">
        <v>0.17519999999999999</v>
      </c>
      <c r="H214" s="594">
        <v>0.1434</v>
      </c>
      <c r="J214" s="195"/>
      <c r="K214" s="232"/>
      <c r="M214" t="s">
        <v>530</v>
      </c>
      <c r="N214" t="s">
        <v>529</v>
      </c>
      <c r="O214" t="s">
        <v>1257</v>
      </c>
      <c r="P214" s="608">
        <v>3.6299999999999999E-2</v>
      </c>
      <c r="Q214" s="608">
        <v>0.17519999999999999</v>
      </c>
      <c r="S214" s="200">
        <f t="shared" si="6"/>
        <v>0</v>
      </c>
      <c r="T214" s="200">
        <f t="shared" si="7"/>
        <v>0</v>
      </c>
    </row>
    <row r="215" spans="1:20" ht="15">
      <c r="A215" s="415">
        <v>208</v>
      </c>
      <c r="B215" s="415">
        <v>9</v>
      </c>
      <c r="C215" s="66" t="s">
        <v>2411</v>
      </c>
      <c r="D215" s="66" t="s">
        <v>531</v>
      </c>
      <c r="E215" s="413" t="s">
        <v>2189</v>
      </c>
      <c r="F215" s="594">
        <v>5.4399999999999997E-2</v>
      </c>
      <c r="G215" s="594">
        <v>0.16619999999999999</v>
      </c>
      <c r="H215" s="594">
        <v>0.1701</v>
      </c>
      <c r="J215" s="195"/>
      <c r="K215" s="232"/>
      <c r="M215" t="s">
        <v>532</v>
      </c>
      <c r="N215" t="s">
        <v>531</v>
      </c>
      <c r="O215" t="s">
        <v>1461</v>
      </c>
      <c r="P215" s="608">
        <v>5.4399999999999997E-2</v>
      </c>
      <c r="Q215" s="608">
        <v>0.16619999999999999</v>
      </c>
      <c r="S215" s="200">
        <f t="shared" si="6"/>
        <v>0</v>
      </c>
      <c r="T215" s="200">
        <f t="shared" si="7"/>
        <v>0</v>
      </c>
    </row>
    <row r="216" spans="1:20" ht="15">
      <c r="A216" s="415">
        <v>209</v>
      </c>
      <c r="B216" s="415">
        <v>159</v>
      </c>
      <c r="C216" s="66" t="s">
        <v>2411</v>
      </c>
      <c r="D216" s="66" t="s">
        <v>533</v>
      </c>
      <c r="E216" s="413" t="s">
        <v>2190</v>
      </c>
      <c r="F216" s="594">
        <v>3.73E-2</v>
      </c>
      <c r="G216" s="594">
        <v>0.1404</v>
      </c>
      <c r="H216" s="594">
        <v>0.13500000000000001</v>
      </c>
      <c r="J216" s="195"/>
      <c r="K216" s="232"/>
      <c r="M216" t="s">
        <v>534</v>
      </c>
      <c r="N216" t="s">
        <v>533</v>
      </c>
      <c r="O216" t="s">
        <v>1269</v>
      </c>
      <c r="P216" s="608">
        <v>3.73E-2</v>
      </c>
      <c r="Q216" s="608">
        <v>0.1404</v>
      </c>
      <c r="S216" s="200">
        <f t="shared" si="6"/>
        <v>0</v>
      </c>
      <c r="T216" s="200">
        <f t="shared" si="7"/>
        <v>0</v>
      </c>
    </row>
    <row r="217" spans="1:20" ht="15">
      <c r="A217" s="415">
        <v>210</v>
      </c>
      <c r="B217" s="415">
        <v>205</v>
      </c>
      <c r="C217" s="66" t="s">
        <v>2405</v>
      </c>
      <c r="D217" s="66" t="s">
        <v>1508</v>
      </c>
      <c r="E217" s="413" t="s">
        <v>2320</v>
      </c>
      <c r="F217" s="595">
        <v>3.8699999999999998E-2</v>
      </c>
      <c r="G217" s="595">
        <v>0.1535</v>
      </c>
      <c r="H217" s="595">
        <v>0.1535</v>
      </c>
      <c r="J217" s="195"/>
      <c r="K217" s="232"/>
      <c r="M217" t="s">
        <v>1551</v>
      </c>
      <c r="N217" t="s">
        <v>1508</v>
      </c>
      <c r="O217" t="s">
        <v>1523</v>
      </c>
      <c r="P217" s="608">
        <v>3.8699999999999998E-2</v>
      </c>
      <c r="Q217" s="608">
        <v>0.1535</v>
      </c>
      <c r="S217" s="200">
        <f t="shared" si="6"/>
        <v>0</v>
      </c>
      <c r="T217" s="200">
        <f t="shared" si="7"/>
        <v>0</v>
      </c>
    </row>
    <row r="218" spans="1:20" ht="15">
      <c r="A218" s="415">
        <v>211</v>
      </c>
      <c r="B218" s="415">
        <v>22</v>
      </c>
      <c r="C218" s="66" t="s">
        <v>2405</v>
      </c>
      <c r="D218" s="66" t="s">
        <v>1634</v>
      </c>
      <c r="E218" s="413" t="s">
        <v>2191</v>
      </c>
      <c r="F218" s="595">
        <v>3.8699999999999998E-2</v>
      </c>
      <c r="G218" s="595">
        <v>0.1535</v>
      </c>
      <c r="H218" s="595">
        <v>0.1535</v>
      </c>
      <c r="J218" s="195"/>
      <c r="K218" s="232"/>
      <c r="M218" t="s">
        <v>1996</v>
      </c>
      <c r="N218" t="s">
        <v>1634</v>
      </c>
      <c r="O218" t="s">
        <v>2455</v>
      </c>
      <c r="P218" s="608">
        <v>3.8699999999999998E-2</v>
      </c>
      <c r="Q218" s="608">
        <v>0.1535</v>
      </c>
      <c r="S218" s="200">
        <f t="shared" si="6"/>
        <v>0</v>
      </c>
      <c r="T218" s="200">
        <f t="shared" si="7"/>
        <v>0</v>
      </c>
    </row>
    <row r="219" spans="1:20" ht="15">
      <c r="A219" s="415">
        <v>212</v>
      </c>
      <c r="B219" s="415">
        <v>175</v>
      </c>
      <c r="C219" s="66" t="s">
        <v>2405</v>
      </c>
      <c r="D219" s="66" t="s">
        <v>1426</v>
      </c>
      <c r="E219" s="413" t="s">
        <v>1496</v>
      </c>
      <c r="F219" s="594">
        <v>0.1827</v>
      </c>
      <c r="G219" s="594">
        <v>0.36859999999999998</v>
      </c>
      <c r="H219" s="594">
        <v>0.30299999999999999</v>
      </c>
      <c r="J219" s="195"/>
      <c r="K219" s="232"/>
      <c r="M219" t="s">
        <v>1595</v>
      </c>
      <c r="N219" t="s">
        <v>1426</v>
      </c>
      <c r="O219" t="s">
        <v>2482</v>
      </c>
      <c r="P219" s="610">
        <v>0.1827</v>
      </c>
      <c r="Q219" s="610">
        <v>0.36859999999999998</v>
      </c>
      <c r="S219" s="200">
        <f t="shared" si="6"/>
        <v>0</v>
      </c>
      <c r="T219" s="200">
        <f t="shared" si="7"/>
        <v>0</v>
      </c>
    </row>
    <row r="220" spans="1:20" ht="15">
      <c r="A220" s="415">
        <v>213</v>
      </c>
      <c r="B220" s="415">
        <v>65</v>
      </c>
      <c r="C220" s="66" t="s">
        <v>2410</v>
      </c>
      <c r="D220" s="66" t="s">
        <v>535</v>
      </c>
      <c r="E220" s="413" t="s">
        <v>2321</v>
      </c>
      <c r="F220" s="594">
        <v>0.27589999999999998</v>
      </c>
      <c r="G220" s="594">
        <v>0.5806</v>
      </c>
      <c r="H220" s="594">
        <v>0.57989999999999997</v>
      </c>
      <c r="J220" s="195"/>
      <c r="K220" s="232"/>
      <c r="M220" t="s">
        <v>536</v>
      </c>
      <c r="N220" t="s">
        <v>535</v>
      </c>
      <c r="O220" t="s">
        <v>2476</v>
      </c>
      <c r="P220" s="608">
        <v>0.27589999999999998</v>
      </c>
      <c r="Q220" s="608">
        <v>0.5806</v>
      </c>
      <c r="S220" s="200">
        <f t="shared" si="6"/>
        <v>0</v>
      </c>
      <c r="T220" s="200">
        <f t="shared" si="7"/>
        <v>0</v>
      </c>
    </row>
    <row r="221" spans="1:20" ht="15">
      <c r="A221" s="415">
        <v>214</v>
      </c>
      <c r="B221" s="415">
        <v>23</v>
      </c>
      <c r="C221" s="66" t="s">
        <v>2410</v>
      </c>
      <c r="D221" s="66" t="s">
        <v>537</v>
      </c>
      <c r="E221" s="413" t="s">
        <v>2192</v>
      </c>
      <c r="F221" s="594">
        <v>0.1055</v>
      </c>
      <c r="G221" s="594">
        <v>0.26369999999999999</v>
      </c>
      <c r="H221" s="594">
        <v>0.2596</v>
      </c>
      <c r="J221" s="195"/>
      <c r="K221" s="232"/>
      <c r="M221" t="s">
        <v>538</v>
      </c>
      <c r="N221" t="s">
        <v>537</v>
      </c>
      <c r="O221" t="s">
        <v>2466</v>
      </c>
      <c r="P221" s="608">
        <v>0.1055</v>
      </c>
      <c r="Q221" s="608">
        <v>0.26369999999999999</v>
      </c>
      <c r="S221" s="200">
        <f t="shared" si="6"/>
        <v>0</v>
      </c>
      <c r="T221" s="200">
        <f t="shared" si="7"/>
        <v>0</v>
      </c>
    </row>
    <row r="222" spans="1:20" ht="15">
      <c r="A222" s="415">
        <v>215</v>
      </c>
      <c r="B222" s="415">
        <v>96</v>
      </c>
      <c r="C222" s="66" t="s">
        <v>2410</v>
      </c>
      <c r="D222" s="66" t="s">
        <v>539</v>
      </c>
      <c r="E222" s="413" t="s">
        <v>2193</v>
      </c>
      <c r="F222" s="594">
        <v>7.2900000000000006E-2</v>
      </c>
      <c r="G222" s="594">
        <v>0.23519999999999999</v>
      </c>
      <c r="H222" s="594">
        <v>0.20569999999999999</v>
      </c>
      <c r="J222" s="195"/>
      <c r="K222" s="232"/>
      <c r="M222" t="s">
        <v>540</v>
      </c>
      <c r="N222" t="s">
        <v>539</v>
      </c>
      <c r="O222" t="s">
        <v>1312</v>
      </c>
      <c r="P222" s="608">
        <v>7.2900000000000006E-2</v>
      </c>
      <c r="Q222" s="608">
        <v>0.23519999999999999</v>
      </c>
      <c r="S222" s="200">
        <f t="shared" si="6"/>
        <v>0</v>
      </c>
      <c r="T222" s="200">
        <f t="shared" si="7"/>
        <v>0</v>
      </c>
    </row>
    <row r="223" spans="1:20" ht="15">
      <c r="A223" s="415">
        <v>216</v>
      </c>
      <c r="B223" s="415">
        <v>291</v>
      </c>
      <c r="C223" s="66" t="s">
        <v>2410</v>
      </c>
      <c r="D223" s="66" t="s">
        <v>541</v>
      </c>
      <c r="E223" s="413" t="s">
        <v>2194</v>
      </c>
      <c r="F223" s="594">
        <v>6.7299999999999999E-2</v>
      </c>
      <c r="G223" s="594">
        <v>0.22969999999999999</v>
      </c>
      <c r="H223" s="594">
        <v>0.23730000000000001</v>
      </c>
      <c r="J223" s="195"/>
      <c r="K223" s="232"/>
      <c r="M223" t="s">
        <v>542</v>
      </c>
      <c r="N223" t="s">
        <v>541</v>
      </c>
      <c r="O223" t="s">
        <v>2473</v>
      </c>
      <c r="P223" s="608">
        <v>6.7299999999999999E-2</v>
      </c>
      <c r="Q223" s="608">
        <v>0.22969999999999999</v>
      </c>
      <c r="S223" s="200">
        <f t="shared" si="6"/>
        <v>0</v>
      </c>
      <c r="T223" s="200">
        <f t="shared" si="7"/>
        <v>0</v>
      </c>
    </row>
    <row r="224" spans="1:20" ht="15">
      <c r="A224" s="415">
        <v>218</v>
      </c>
      <c r="B224" s="415">
        <v>12</v>
      </c>
      <c r="C224" s="66" t="s">
        <v>2410</v>
      </c>
      <c r="D224" s="66" t="s">
        <v>543</v>
      </c>
      <c r="E224" s="413" t="s">
        <v>2195</v>
      </c>
      <c r="F224" s="594">
        <v>5.8700000000000002E-2</v>
      </c>
      <c r="G224" s="594">
        <v>0.22359999999999999</v>
      </c>
      <c r="H224" s="594">
        <v>0.19259999999999999</v>
      </c>
      <c r="J224" s="195"/>
      <c r="K224" s="232"/>
      <c r="M224" t="s">
        <v>544</v>
      </c>
      <c r="N224" t="s">
        <v>543</v>
      </c>
      <c r="O224" t="s">
        <v>1240</v>
      </c>
      <c r="P224" s="608">
        <v>5.8700000000000002E-2</v>
      </c>
      <c r="Q224" s="608">
        <v>0.22359999999999999</v>
      </c>
      <c r="S224" s="200">
        <f t="shared" si="6"/>
        <v>0</v>
      </c>
      <c r="T224" s="200">
        <f t="shared" si="7"/>
        <v>0</v>
      </c>
    </row>
    <row r="225" spans="1:20" ht="15">
      <c r="A225" s="415">
        <v>219</v>
      </c>
      <c r="B225" s="415">
        <v>304</v>
      </c>
      <c r="C225" s="66" t="s">
        <v>2410</v>
      </c>
      <c r="D225" s="66" t="s">
        <v>545</v>
      </c>
      <c r="E225" s="413" t="s">
        <v>2196</v>
      </c>
      <c r="F225" s="594">
        <v>1.78E-2</v>
      </c>
      <c r="G225" s="594">
        <v>0.1157</v>
      </c>
      <c r="H225" s="594">
        <v>9.64E-2</v>
      </c>
      <c r="J225" s="195"/>
      <c r="K225" s="232"/>
      <c r="M225" t="s">
        <v>1136</v>
      </c>
      <c r="N225" t="s">
        <v>545</v>
      </c>
      <c r="O225" t="s">
        <v>2441</v>
      </c>
      <c r="P225" s="608">
        <v>1.78E-2</v>
      </c>
      <c r="Q225" s="608">
        <v>0.1157</v>
      </c>
      <c r="S225" s="200">
        <f t="shared" si="6"/>
        <v>0</v>
      </c>
      <c r="T225" s="200">
        <f t="shared" si="7"/>
        <v>0</v>
      </c>
    </row>
    <row r="226" spans="1:20" ht="15">
      <c r="A226" s="415">
        <v>220</v>
      </c>
      <c r="B226" s="415">
        <v>197</v>
      </c>
      <c r="C226" s="66" t="s">
        <v>2410</v>
      </c>
      <c r="D226" s="66" t="s">
        <v>546</v>
      </c>
      <c r="E226" s="413" t="s">
        <v>2197</v>
      </c>
      <c r="F226" s="594">
        <v>3.4700000000000002E-2</v>
      </c>
      <c r="G226" s="594">
        <v>0.1318</v>
      </c>
      <c r="H226" s="594">
        <v>0.12570000000000001</v>
      </c>
      <c r="J226" s="195"/>
      <c r="K226" s="232"/>
      <c r="M226" t="s">
        <v>547</v>
      </c>
      <c r="N226" t="s">
        <v>546</v>
      </c>
      <c r="O226" t="s">
        <v>2475</v>
      </c>
      <c r="P226" s="608">
        <v>3.4700000000000002E-2</v>
      </c>
      <c r="Q226" s="608">
        <v>0.1318</v>
      </c>
      <c r="S226" s="200">
        <f t="shared" si="6"/>
        <v>0</v>
      </c>
      <c r="T226" s="200">
        <f t="shared" si="7"/>
        <v>0</v>
      </c>
    </row>
    <row r="227" spans="1:20" ht="15">
      <c r="A227" s="415">
        <v>221</v>
      </c>
      <c r="B227" s="415">
        <v>92</v>
      </c>
      <c r="C227" s="66" t="s">
        <v>2410</v>
      </c>
      <c r="D227" s="66" t="s">
        <v>548</v>
      </c>
      <c r="E227" s="413" t="s">
        <v>2198</v>
      </c>
      <c r="F227" s="594">
        <v>5.5500000000000001E-2</v>
      </c>
      <c r="G227" s="594">
        <v>0.18279999999999999</v>
      </c>
      <c r="H227" s="594">
        <v>0.182</v>
      </c>
      <c r="J227" s="195"/>
      <c r="K227" s="232"/>
      <c r="M227" t="s">
        <v>549</v>
      </c>
      <c r="N227" t="s">
        <v>548</v>
      </c>
      <c r="O227" t="s">
        <v>1202</v>
      </c>
      <c r="P227" s="608">
        <v>5.5500000000000001E-2</v>
      </c>
      <c r="Q227" s="608">
        <v>0.18279999999999999</v>
      </c>
      <c r="S227" s="200">
        <f t="shared" si="6"/>
        <v>0</v>
      </c>
      <c r="T227" s="200">
        <f t="shared" si="7"/>
        <v>0</v>
      </c>
    </row>
    <row r="228" spans="1:20" ht="15">
      <c r="A228" s="415">
        <v>222</v>
      </c>
      <c r="B228" s="415">
        <v>94</v>
      </c>
      <c r="C228" s="66" t="s">
        <v>2410</v>
      </c>
      <c r="D228" s="66" t="s">
        <v>550</v>
      </c>
      <c r="E228" s="413" t="s">
        <v>2199</v>
      </c>
      <c r="F228" s="594">
        <v>7.9699999999999993E-2</v>
      </c>
      <c r="G228" s="594">
        <v>0.2331</v>
      </c>
      <c r="H228" s="594">
        <v>0.26119999999999999</v>
      </c>
      <c r="J228" s="195"/>
      <c r="K228" s="232"/>
      <c r="M228" t="s">
        <v>551</v>
      </c>
      <c r="N228" t="s">
        <v>550</v>
      </c>
      <c r="O228" t="s">
        <v>1302</v>
      </c>
      <c r="P228" s="608">
        <v>7.9699999999999993E-2</v>
      </c>
      <c r="Q228" s="608">
        <v>0.2331</v>
      </c>
      <c r="S228" s="200">
        <f t="shared" si="6"/>
        <v>0</v>
      </c>
      <c r="T228" s="200">
        <f t="shared" si="7"/>
        <v>0</v>
      </c>
    </row>
    <row r="229" spans="1:20" ht="15">
      <c r="A229" s="415">
        <v>223</v>
      </c>
      <c r="B229" s="415">
        <v>28</v>
      </c>
      <c r="C229" s="66" t="s">
        <v>2410</v>
      </c>
      <c r="D229" s="66" t="s">
        <v>552</v>
      </c>
      <c r="E229" s="413" t="s">
        <v>2200</v>
      </c>
      <c r="F229" s="594">
        <v>2.8000000000000001E-2</v>
      </c>
      <c r="G229" s="594">
        <v>0.19789999999999999</v>
      </c>
      <c r="H229" s="594">
        <v>0.22170000000000001</v>
      </c>
      <c r="J229" s="195"/>
      <c r="K229" s="232"/>
      <c r="M229" t="s">
        <v>553</v>
      </c>
      <c r="N229" t="s">
        <v>552</v>
      </c>
      <c r="O229" t="s">
        <v>1241</v>
      </c>
      <c r="P229" s="608">
        <v>2.8000000000000001E-2</v>
      </c>
      <c r="Q229" s="608">
        <v>0.19789999999999999</v>
      </c>
      <c r="S229" s="200">
        <f t="shared" si="6"/>
        <v>0</v>
      </c>
      <c r="T229" s="200">
        <f t="shared" si="7"/>
        <v>0</v>
      </c>
    </row>
    <row r="230" spans="1:20" ht="15">
      <c r="A230" s="415">
        <v>224</v>
      </c>
      <c r="B230" s="415">
        <v>27</v>
      </c>
      <c r="C230" s="66" t="s">
        <v>2410</v>
      </c>
      <c r="D230" s="66" t="s">
        <v>554</v>
      </c>
      <c r="E230" s="413" t="s">
        <v>2201</v>
      </c>
      <c r="F230" s="594">
        <v>4.3799999999999999E-2</v>
      </c>
      <c r="G230" s="594">
        <v>0.13850000000000001</v>
      </c>
      <c r="H230" s="594">
        <v>0.1694</v>
      </c>
      <c r="J230" s="195"/>
      <c r="K230" s="232"/>
      <c r="M230" t="s">
        <v>555</v>
      </c>
      <c r="N230" t="s">
        <v>554</v>
      </c>
      <c r="O230" t="s">
        <v>2462</v>
      </c>
      <c r="P230" s="608">
        <v>4.3799999999999999E-2</v>
      </c>
      <c r="Q230" s="608">
        <v>0.13850000000000001</v>
      </c>
      <c r="S230" s="200">
        <f t="shared" si="6"/>
        <v>0</v>
      </c>
      <c r="T230" s="200">
        <f t="shared" si="7"/>
        <v>0</v>
      </c>
    </row>
    <row r="231" spans="1:20" ht="15">
      <c r="A231" s="415">
        <v>225</v>
      </c>
      <c r="B231" s="415">
        <v>83</v>
      </c>
      <c r="C231" s="66"/>
      <c r="D231" s="419" t="s">
        <v>765</v>
      </c>
      <c r="E231" s="417" t="s">
        <v>1600</v>
      </c>
      <c r="F231" s="420">
        <v>0</v>
      </c>
      <c r="G231" s="473">
        <v>0.11</v>
      </c>
      <c r="H231" s="420">
        <v>0</v>
      </c>
      <c r="J231" s="195"/>
      <c r="K231" s="232"/>
      <c r="M231" t="s">
        <v>1600</v>
      </c>
      <c r="N231" t="s">
        <v>765</v>
      </c>
      <c r="O231" t="s">
        <v>2450</v>
      </c>
      <c r="P231" s="608"/>
      <c r="Q231" s="608">
        <v>0.11</v>
      </c>
      <c r="S231" s="200">
        <f t="shared" si="6"/>
        <v>0</v>
      </c>
      <c r="T231" s="200">
        <f t="shared" si="7"/>
        <v>0</v>
      </c>
    </row>
    <row r="232" spans="1:20" ht="15">
      <c r="A232" s="415">
        <v>226</v>
      </c>
      <c r="B232" s="415">
        <v>67</v>
      </c>
      <c r="C232" s="66" t="s">
        <v>2407</v>
      </c>
      <c r="D232" s="66" t="s">
        <v>556</v>
      </c>
      <c r="E232" s="413" t="s">
        <v>2202</v>
      </c>
      <c r="F232" s="594">
        <v>0.1109</v>
      </c>
      <c r="G232" s="594">
        <v>0.33989999999999998</v>
      </c>
      <c r="H232" s="594">
        <v>0.2162</v>
      </c>
      <c r="J232" s="195"/>
      <c r="K232" s="232"/>
      <c r="M232" t="s">
        <v>557</v>
      </c>
      <c r="N232" t="s">
        <v>556</v>
      </c>
      <c r="O232" t="s">
        <v>1407</v>
      </c>
      <c r="P232" s="608">
        <v>0.1109</v>
      </c>
      <c r="Q232" s="608">
        <v>0.33989999999999998</v>
      </c>
      <c r="S232" s="200">
        <f t="shared" si="6"/>
        <v>0</v>
      </c>
      <c r="T232" s="200">
        <f t="shared" si="7"/>
        <v>0</v>
      </c>
    </row>
    <row r="233" spans="1:20" ht="15">
      <c r="A233" s="415">
        <v>227</v>
      </c>
      <c r="B233" s="415">
        <v>278</v>
      </c>
      <c r="C233" s="66" t="s">
        <v>2407</v>
      </c>
      <c r="D233" s="66" t="s">
        <v>558</v>
      </c>
      <c r="E233" s="413" t="s">
        <v>2322</v>
      </c>
      <c r="F233" s="594">
        <v>4.1599999999999998E-2</v>
      </c>
      <c r="G233" s="594">
        <v>0.29199999999999998</v>
      </c>
      <c r="H233" s="594">
        <v>0.1565</v>
      </c>
      <c r="J233" s="195"/>
      <c r="K233" s="232"/>
      <c r="M233" t="s">
        <v>559</v>
      </c>
      <c r="N233" t="s">
        <v>558</v>
      </c>
      <c r="O233" t="s">
        <v>1334</v>
      </c>
      <c r="P233" s="608">
        <v>4.1599999999999998E-2</v>
      </c>
      <c r="Q233" s="608">
        <v>0.29199999999999998</v>
      </c>
      <c r="S233" s="200">
        <f t="shared" si="6"/>
        <v>0</v>
      </c>
      <c r="T233" s="200">
        <f t="shared" si="7"/>
        <v>0</v>
      </c>
    </row>
    <row r="234" spans="1:20" ht="15">
      <c r="A234" s="415">
        <v>228</v>
      </c>
      <c r="B234" s="415">
        <v>120</v>
      </c>
      <c r="C234" s="66" t="s">
        <v>2407</v>
      </c>
      <c r="D234" s="66" t="s">
        <v>560</v>
      </c>
      <c r="E234" s="413" t="s">
        <v>2203</v>
      </c>
      <c r="F234" s="594">
        <v>1.5699999999999999E-2</v>
      </c>
      <c r="G234" s="594">
        <v>0.33239999999999997</v>
      </c>
      <c r="H234" s="594">
        <v>0.30209999999999998</v>
      </c>
      <c r="J234" s="195"/>
      <c r="K234" s="232"/>
      <c r="M234" t="s">
        <v>561</v>
      </c>
      <c r="N234" t="s">
        <v>560</v>
      </c>
      <c r="O234" t="s">
        <v>1326</v>
      </c>
      <c r="P234" s="608">
        <v>1.5699999999999999E-2</v>
      </c>
      <c r="Q234" s="608">
        <v>0.33239999999999997</v>
      </c>
      <c r="S234" s="200">
        <f t="shared" si="6"/>
        <v>0</v>
      </c>
      <c r="T234" s="200">
        <f t="shared" si="7"/>
        <v>0</v>
      </c>
    </row>
    <row r="235" spans="1:20" ht="15">
      <c r="A235" s="415">
        <v>229</v>
      </c>
      <c r="B235" s="415">
        <v>121</v>
      </c>
      <c r="C235" s="66" t="s">
        <v>2407</v>
      </c>
      <c r="D235" s="66" t="s">
        <v>562</v>
      </c>
      <c r="E235" s="413" t="s">
        <v>2204</v>
      </c>
      <c r="F235" s="594">
        <v>1.4200000000000001E-2</v>
      </c>
      <c r="G235" s="594">
        <v>0.20169999999999999</v>
      </c>
      <c r="H235" s="594">
        <v>0.24629999999999999</v>
      </c>
      <c r="J235" s="195"/>
      <c r="K235" s="232"/>
      <c r="M235" t="s">
        <v>563</v>
      </c>
      <c r="N235" t="s">
        <v>562</v>
      </c>
      <c r="O235" t="s">
        <v>1424</v>
      </c>
      <c r="P235" s="608">
        <v>1.4200000000000001E-2</v>
      </c>
      <c r="Q235" s="608">
        <v>0.20169999999999999</v>
      </c>
      <c r="S235" s="200">
        <f t="shared" si="6"/>
        <v>0</v>
      </c>
      <c r="T235" s="200">
        <f t="shared" si="7"/>
        <v>0</v>
      </c>
    </row>
    <row r="236" spans="1:20" ht="15">
      <c r="A236" s="415">
        <v>230</v>
      </c>
      <c r="B236" s="415">
        <v>188</v>
      </c>
      <c r="C236" s="66" t="s">
        <v>2410</v>
      </c>
      <c r="D236" s="66" t="s">
        <v>564</v>
      </c>
      <c r="E236" s="413" t="s">
        <v>2205</v>
      </c>
      <c r="F236" s="594">
        <v>3.0700000000000002E-2</v>
      </c>
      <c r="G236" s="594">
        <v>0.13339999999999999</v>
      </c>
      <c r="H236" s="594">
        <v>0.1283</v>
      </c>
      <c r="J236" s="195"/>
      <c r="K236" s="232"/>
      <c r="M236" t="s">
        <v>565</v>
      </c>
      <c r="N236" t="s">
        <v>564</v>
      </c>
      <c r="O236" t="s">
        <v>1266</v>
      </c>
      <c r="P236" s="608">
        <v>3.0700000000000002E-2</v>
      </c>
      <c r="Q236" s="608">
        <v>0.13339999999999999</v>
      </c>
      <c r="S236" s="200">
        <f t="shared" si="6"/>
        <v>0</v>
      </c>
      <c r="T236" s="200">
        <f t="shared" si="7"/>
        <v>0</v>
      </c>
    </row>
    <row r="237" spans="1:20" ht="15">
      <c r="A237" s="415">
        <v>231</v>
      </c>
      <c r="B237" s="415">
        <v>164</v>
      </c>
      <c r="C237" s="66" t="s">
        <v>2410</v>
      </c>
      <c r="D237" s="66" t="s">
        <v>566</v>
      </c>
      <c r="E237" s="413" t="s">
        <v>2206</v>
      </c>
      <c r="F237" s="594">
        <v>3.4000000000000002E-2</v>
      </c>
      <c r="G237" s="594">
        <v>0.1411</v>
      </c>
      <c r="H237" s="594">
        <v>0.1419</v>
      </c>
      <c r="J237" s="195"/>
      <c r="K237" s="232"/>
      <c r="M237" t="s">
        <v>567</v>
      </c>
      <c r="N237" t="s">
        <v>566</v>
      </c>
      <c r="O237" t="s">
        <v>1304</v>
      </c>
      <c r="P237" s="608">
        <v>3.4000000000000002E-2</v>
      </c>
      <c r="Q237" s="608">
        <v>0.1411</v>
      </c>
      <c r="S237" s="200">
        <f t="shared" si="6"/>
        <v>0</v>
      </c>
      <c r="T237" s="200">
        <f t="shared" si="7"/>
        <v>0</v>
      </c>
    </row>
    <row r="238" spans="1:20" ht="15">
      <c r="A238" s="415">
        <v>232</v>
      </c>
      <c r="B238" s="415">
        <v>103</v>
      </c>
      <c r="C238" s="66" t="s">
        <v>2410</v>
      </c>
      <c r="D238" s="66" t="s">
        <v>568</v>
      </c>
      <c r="E238" s="413" t="s">
        <v>2207</v>
      </c>
      <c r="F238" s="594">
        <v>3.9699999999999999E-2</v>
      </c>
      <c r="G238" s="594">
        <v>0.11559999999999999</v>
      </c>
      <c r="H238" s="594">
        <v>0.10539999999999999</v>
      </c>
      <c r="J238" s="195"/>
      <c r="K238" s="232"/>
      <c r="M238" t="s">
        <v>569</v>
      </c>
      <c r="N238" t="s">
        <v>568</v>
      </c>
      <c r="O238" t="s">
        <v>1335</v>
      </c>
      <c r="P238" s="608">
        <v>3.9699999999999999E-2</v>
      </c>
      <c r="Q238" s="608">
        <v>0.11559999999999999</v>
      </c>
      <c r="S238" s="200">
        <f t="shared" si="6"/>
        <v>0</v>
      </c>
      <c r="T238" s="200">
        <f t="shared" si="7"/>
        <v>0</v>
      </c>
    </row>
    <row r="239" spans="1:20" ht="15">
      <c r="A239" s="415">
        <v>233</v>
      </c>
      <c r="B239" s="415">
        <v>59</v>
      </c>
      <c r="C239" s="66" t="s">
        <v>2410</v>
      </c>
      <c r="D239" s="66" t="s">
        <v>570</v>
      </c>
      <c r="E239" s="413" t="s">
        <v>2208</v>
      </c>
      <c r="F239" s="594">
        <v>3.7999999999999999E-2</v>
      </c>
      <c r="G239" s="594">
        <v>0.1308</v>
      </c>
      <c r="H239" s="594">
        <v>0.13619999999999999</v>
      </c>
      <c r="J239" s="195"/>
      <c r="K239" s="232"/>
      <c r="M239" t="s">
        <v>571</v>
      </c>
      <c r="N239" t="s">
        <v>570</v>
      </c>
      <c r="O239" t="s">
        <v>1258</v>
      </c>
      <c r="P239" s="608">
        <v>3.7999999999999999E-2</v>
      </c>
      <c r="Q239" s="608">
        <v>0.1308</v>
      </c>
      <c r="S239" s="200">
        <f t="shared" si="6"/>
        <v>0</v>
      </c>
      <c r="T239" s="200">
        <f t="shared" si="7"/>
        <v>0</v>
      </c>
    </row>
    <row r="240" spans="1:20" ht="15">
      <c r="A240" s="415">
        <v>234</v>
      </c>
      <c r="B240" s="415">
        <v>13</v>
      </c>
      <c r="C240" s="66" t="s">
        <v>2410</v>
      </c>
      <c r="D240" s="66" t="s">
        <v>572</v>
      </c>
      <c r="E240" s="413" t="s">
        <v>2209</v>
      </c>
      <c r="F240" s="594">
        <v>3.2599999999999997E-2</v>
      </c>
      <c r="G240" s="594">
        <v>0.14380000000000001</v>
      </c>
      <c r="H240" s="594">
        <v>0.1328</v>
      </c>
      <c r="J240" s="195"/>
      <c r="K240" s="232"/>
      <c r="M240" t="s">
        <v>573</v>
      </c>
      <c r="N240" t="s">
        <v>572</v>
      </c>
      <c r="O240" t="s">
        <v>1203</v>
      </c>
      <c r="P240" s="608">
        <v>3.2599999999999997E-2</v>
      </c>
      <c r="Q240" s="608">
        <v>0.14380000000000001</v>
      </c>
      <c r="S240" s="200">
        <f t="shared" si="6"/>
        <v>0</v>
      </c>
      <c r="T240" s="200">
        <f t="shared" si="7"/>
        <v>0</v>
      </c>
    </row>
    <row r="241" spans="1:20" ht="15">
      <c r="A241" s="415">
        <v>235</v>
      </c>
      <c r="B241" s="415">
        <v>37</v>
      </c>
      <c r="C241" s="66" t="s">
        <v>2410</v>
      </c>
      <c r="D241" s="66" t="s">
        <v>574</v>
      </c>
      <c r="E241" s="413" t="s">
        <v>2210</v>
      </c>
      <c r="F241" s="594">
        <v>3.8100000000000002E-2</v>
      </c>
      <c r="G241" s="594">
        <v>0.1351</v>
      </c>
      <c r="H241" s="594">
        <v>0.12540000000000001</v>
      </c>
      <c r="J241" s="195"/>
      <c r="K241" s="232"/>
      <c r="M241" t="s">
        <v>575</v>
      </c>
      <c r="N241" t="s">
        <v>574</v>
      </c>
      <c r="O241" t="s">
        <v>1320</v>
      </c>
      <c r="P241" s="608">
        <v>3.8100000000000002E-2</v>
      </c>
      <c r="Q241" s="608">
        <v>0.1351</v>
      </c>
      <c r="S241" s="200">
        <f t="shared" si="6"/>
        <v>0</v>
      </c>
      <c r="T241" s="200">
        <f t="shared" si="7"/>
        <v>0</v>
      </c>
    </row>
    <row r="242" spans="1:20" ht="15">
      <c r="A242" s="415">
        <v>236</v>
      </c>
      <c r="B242" s="415">
        <v>5</v>
      </c>
      <c r="C242" s="66" t="s">
        <v>2410</v>
      </c>
      <c r="D242" s="66" t="s">
        <v>576</v>
      </c>
      <c r="E242" s="413" t="s">
        <v>2211</v>
      </c>
      <c r="F242" s="594">
        <v>0.2303</v>
      </c>
      <c r="G242" s="594">
        <v>0.4733</v>
      </c>
      <c r="H242" s="594">
        <v>0.47920000000000001</v>
      </c>
      <c r="J242" s="195"/>
      <c r="K242" s="232"/>
      <c r="M242" t="s">
        <v>577</v>
      </c>
      <c r="N242" t="s">
        <v>576</v>
      </c>
      <c r="O242" t="s">
        <v>1291</v>
      </c>
      <c r="P242" s="608">
        <v>0.2303</v>
      </c>
      <c r="Q242" s="608">
        <v>0.4733</v>
      </c>
      <c r="S242" s="200">
        <f t="shared" si="6"/>
        <v>0</v>
      </c>
      <c r="T242" s="200">
        <f t="shared" si="7"/>
        <v>0</v>
      </c>
    </row>
    <row r="243" spans="1:20" ht="15">
      <c r="A243" s="415">
        <v>237</v>
      </c>
      <c r="B243" s="415">
        <v>257</v>
      </c>
      <c r="C243" s="66" t="s">
        <v>2410</v>
      </c>
      <c r="D243" s="66" t="s">
        <v>578</v>
      </c>
      <c r="E243" s="413" t="s">
        <v>2212</v>
      </c>
      <c r="F243" s="594">
        <v>4.0399999999999998E-2</v>
      </c>
      <c r="G243" s="594">
        <v>0.1681</v>
      </c>
      <c r="H243" s="594">
        <v>0.15140000000000001</v>
      </c>
      <c r="J243" s="195"/>
      <c r="K243" s="232"/>
      <c r="M243" t="s">
        <v>579</v>
      </c>
      <c r="N243" t="s">
        <v>578</v>
      </c>
      <c r="O243" t="s">
        <v>1327</v>
      </c>
      <c r="P243" s="608">
        <v>4.0399999999999998E-2</v>
      </c>
      <c r="Q243" s="608">
        <v>0.1681</v>
      </c>
      <c r="S243" s="200">
        <f t="shared" si="6"/>
        <v>0</v>
      </c>
      <c r="T243" s="200">
        <f t="shared" si="7"/>
        <v>0</v>
      </c>
    </row>
    <row r="244" spans="1:20" ht="15">
      <c r="A244" s="415">
        <v>238</v>
      </c>
      <c r="B244" s="415">
        <v>107</v>
      </c>
      <c r="C244" s="66" t="s">
        <v>2410</v>
      </c>
      <c r="D244" s="66" t="s">
        <v>580</v>
      </c>
      <c r="E244" s="413" t="s">
        <v>2213</v>
      </c>
      <c r="F244" s="594">
        <v>5.11E-2</v>
      </c>
      <c r="G244" s="594">
        <v>0.18360000000000001</v>
      </c>
      <c r="H244" s="594">
        <v>0.15959999999999999</v>
      </c>
      <c r="J244" s="195"/>
      <c r="K244" s="232"/>
      <c r="M244" t="s">
        <v>581</v>
      </c>
      <c r="N244" t="s">
        <v>580</v>
      </c>
      <c r="O244" t="s">
        <v>1409</v>
      </c>
      <c r="P244" s="608">
        <v>5.11E-2</v>
      </c>
      <c r="Q244" s="608">
        <v>0.18360000000000001</v>
      </c>
      <c r="S244" s="200">
        <f t="shared" si="6"/>
        <v>0</v>
      </c>
      <c r="T244" s="200">
        <f t="shared" si="7"/>
        <v>0</v>
      </c>
    </row>
    <row r="245" spans="1:20" ht="15">
      <c r="A245" s="415">
        <v>239</v>
      </c>
      <c r="B245" s="415">
        <v>280</v>
      </c>
      <c r="C245" s="66" t="s">
        <v>2410</v>
      </c>
      <c r="D245" s="66" t="s">
        <v>582</v>
      </c>
      <c r="E245" s="413" t="s">
        <v>2214</v>
      </c>
      <c r="F245" s="594">
        <v>3.9600000000000003E-2</v>
      </c>
      <c r="G245" s="594">
        <v>0.1613</v>
      </c>
      <c r="H245" s="594">
        <v>0.14449999999999999</v>
      </c>
      <c r="J245" s="195"/>
      <c r="K245" s="232"/>
      <c r="M245" t="s">
        <v>583</v>
      </c>
      <c r="N245" t="s">
        <v>582</v>
      </c>
      <c r="O245" t="s">
        <v>1306</v>
      </c>
      <c r="P245" s="608">
        <v>3.9600000000000003E-2</v>
      </c>
      <c r="Q245" s="608">
        <v>0.1613</v>
      </c>
      <c r="S245" s="200">
        <f t="shared" si="6"/>
        <v>0</v>
      </c>
      <c r="T245" s="200">
        <f t="shared" si="7"/>
        <v>0</v>
      </c>
    </row>
    <row r="246" spans="1:20" ht="15">
      <c r="A246" s="415">
        <v>240</v>
      </c>
      <c r="B246" s="415">
        <v>146</v>
      </c>
      <c r="C246" s="66" t="s">
        <v>2410</v>
      </c>
      <c r="D246" s="66" t="s">
        <v>584</v>
      </c>
      <c r="E246" s="413" t="s">
        <v>2215</v>
      </c>
      <c r="F246" s="594">
        <v>3.7999999999999999E-2</v>
      </c>
      <c r="G246" s="594">
        <v>0.182</v>
      </c>
      <c r="H246" s="594">
        <v>0.19159999999999999</v>
      </c>
      <c r="J246" s="195"/>
      <c r="K246" s="232"/>
      <c r="M246" t="s">
        <v>585</v>
      </c>
      <c r="N246" t="s">
        <v>584</v>
      </c>
      <c r="O246" t="s">
        <v>1425</v>
      </c>
      <c r="P246" s="608">
        <v>3.7999999999999999E-2</v>
      </c>
      <c r="Q246" s="608">
        <v>0.182</v>
      </c>
      <c r="S246" s="200">
        <f t="shared" si="6"/>
        <v>0</v>
      </c>
      <c r="T246" s="200">
        <f t="shared" si="7"/>
        <v>0</v>
      </c>
    </row>
    <row r="247" spans="1:20" ht="15">
      <c r="A247" s="415">
        <v>241</v>
      </c>
      <c r="B247" s="415">
        <v>40</v>
      </c>
      <c r="C247" s="66" t="s">
        <v>2410</v>
      </c>
      <c r="D247" s="66" t="s">
        <v>586</v>
      </c>
      <c r="E247" s="413" t="s">
        <v>2216</v>
      </c>
      <c r="F247" s="594">
        <v>7.2099999999999997E-2</v>
      </c>
      <c r="G247" s="594">
        <v>0.2301</v>
      </c>
      <c r="H247" s="594">
        <v>0.22109999999999999</v>
      </c>
      <c r="J247" s="195"/>
      <c r="K247" s="232"/>
      <c r="M247" t="s">
        <v>587</v>
      </c>
      <c r="N247" t="s">
        <v>586</v>
      </c>
      <c r="O247" t="s">
        <v>1249</v>
      </c>
      <c r="P247" s="608">
        <v>7.2099999999999997E-2</v>
      </c>
      <c r="Q247" s="608">
        <v>0.2301</v>
      </c>
      <c r="S247" s="200">
        <f t="shared" si="6"/>
        <v>0</v>
      </c>
      <c r="T247" s="200">
        <f t="shared" si="7"/>
        <v>0</v>
      </c>
    </row>
    <row r="248" spans="1:20" ht="15">
      <c r="A248" s="415">
        <v>242</v>
      </c>
      <c r="B248" s="415">
        <v>311</v>
      </c>
      <c r="C248" s="66" t="s">
        <v>2410</v>
      </c>
      <c r="D248" s="66" t="s">
        <v>588</v>
      </c>
      <c r="E248" s="413" t="s">
        <v>2217</v>
      </c>
      <c r="F248" s="594">
        <v>3.9800000000000002E-2</v>
      </c>
      <c r="G248" s="594">
        <v>0.16159999999999999</v>
      </c>
      <c r="H248" s="594">
        <v>0.16209999999999999</v>
      </c>
      <c r="J248" s="195"/>
      <c r="K248" s="232"/>
      <c r="M248" t="s">
        <v>589</v>
      </c>
      <c r="N248" t="s">
        <v>588</v>
      </c>
      <c r="O248" t="s">
        <v>1279</v>
      </c>
      <c r="P248" s="608">
        <v>3.9800000000000002E-2</v>
      </c>
      <c r="Q248" s="608">
        <v>0.16159999999999999</v>
      </c>
      <c r="S248" s="200">
        <f t="shared" si="6"/>
        <v>0</v>
      </c>
      <c r="T248" s="200">
        <f t="shared" si="7"/>
        <v>0</v>
      </c>
    </row>
    <row r="249" spans="1:20" ht="15">
      <c r="A249" s="415">
        <v>243</v>
      </c>
      <c r="B249" s="415">
        <v>71</v>
      </c>
      <c r="C249" s="66" t="s">
        <v>2410</v>
      </c>
      <c r="D249" s="66" t="s">
        <v>590</v>
      </c>
      <c r="E249" s="413" t="s">
        <v>2218</v>
      </c>
      <c r="F249" s="594">
        <v>4.6800000000000001E-2</v>
      </c>
      <c r="G249" s="594">
        <v>0.15049999999999999</v>
      </c>
      <c r="H249" s="594">
        <v>0.1464</v>
      </c>
      <c r="J249" s="195"/>
      <c r="K249" s="232"/>
      <c r="M249" t="s">
        <v>591</v>
      </c>
      <c r="N249" t="s">
        <v>590</v>
      </c>
      <c r="O249" t="s">
        <v>2479</v>
      </c>
      <c r="P249" s="608">
        <v>4.6800000000000001E-2</v>
      </c>
      <c r="Q249" s="608">
        <v>0.15049999999999999</v>
      </c>
      <c r="S249" s="200">
        <f t="shared" si="6"/>
        <v>0</v>
      </c>
      <c r="T249" s="200">
        <f t="shared" si="7"/>
        <v>0</v>
      </c>
    </row>
    <row r="250" spans="1:20" ht="15">
      <c r="A250" s="415">
        <v>244</v>
      </c>
      <c r="B250" s="415">
        <v>217</v>
      </c>
      <c r="C250" s="66" t="s">
        <v>2402</v>
      </c>
      <c r="D250" s="66" t="s">
        <v>592</v>
      </c>
      <c r="E250" s="413" t="s">
        <v>2219</v>
      </c>
      <c r="F250" s="594">
        <v>2.9899999999999999E-2</v>
      </c>
      <c r="G250" s="594">
        <v>0.12959999999999999</v>
      </c>
      <c r="H250" s="594">
        <v>0.12759999999999999</v>
      </c>
      <c r="J250" s="195"/>
      <c r="K250" s="232"/>
      <c r="M250" t="s">
        <v>593</v>
      </c>
      <c r="N250" t="s">
        <v>592</v>
      </c>
      <c r="O250" t="s">
        <v>1416</v>
      </c>
      <c r="P250" s="608">
        <v>2.9899999999999999E-2</v>
      </c>
      <c r="Q250" s="608">
        <v>0.12959999999999999</v>
      </c>
      <c r="S250" s="200">
        <f t="shared" si="6"/>
        <v>0</v>
      </c>
      <c r="T250" s="200">
        <f t="shared" si="7"/>
        <v>0</v>
      </c>
    </row>
    <row r="251" spans="1:20" ht="15">
      <c r="A251" s="415">
        <v>245</v>
      </c>
      <c r="B251" s="415">
        <v>85</v>
      </c>
      <c r="C251" s="66" t="s">
        <v>2402</v>
      </c>
      <c r="D251" s="66" t="s">
        <v>594</v>
      </c>
      <c r="E251" s="413" t="s">
        <v>2323</v>
      </c>
      <c r="F251" s="594">
        <v>2.8000000000000001E-2</v>
      </c>
      <c r="G251" s="594">
        <v>0.34460000000000002</v>
      </c>
      <c r="H251" s="594">
        <v>0.1784</v>
      </c>
      <c r="J251" s="195"/>
      <c r="K251" s="232"/>
      <c r="M251" t="s">
        <v>595</v>
      </c>
      <c r="N251" t="s">
        <v>594</v>
      </c>
      <c r="O251" t="s">
        <v>1360</v>
      </c>
      <c r="P251" s="608">
        <v>2.8000000000000001E-2</v>
      </c>
      <c r="Q251" s="608">
        <v>0.34460000000000002</v>
      </c>
      <c r="S251" s="200">
        <f t="shared" si="6"/>
        <v>0</v>
      </c>
      <c r="T251" s="200">
        <f t="shared" si="7"/>
        <v>0</v>
      </c>
    </row>
    <row r="252" spans="1:20" ht="15">
      <c r="A252" s="415">
        <v>246</v>
      </c>
      <c r="B252" s="415">
        <v>97</v>
      </c>
      <c r="C252" s="66" t="s">
        <v>2402</v>
      </c>
      <c r="D252" s="66" t="s">
        <v>596</v>
      </c>
      <c r="E252" s="413" t="s">
        <v>2220</v>
      </c>
      <c r="F252" s="594">
        <v>0.17169999999999999</v>
      </c>
      <c r="G252" s="594">
        <v>0.39029999999999998</v>
      </c>
      <c r="H252" s="594">
        <v>0.56789999999999996</v>
      </c>
      <c r="J252" s="195"/>
      <c r="K252" s="232"/>
      <c r="M252" t="s">
        <v>597</v>
      </c>
      <c r="N252" t="s">
        <v>596</v>
      </c>
      <c r="O252" t="s">
        <v>1281</v>
      </c>
      <c r="P252" s="608">
        <v>0.17169999999999999</v>
      </c>
      <c r="Q252" s="608">
        <v>0.39029999999999998</v>
      </c>
      <c r="S252" s="200">
        <f t="shared" si="6"/>
        <v>0</v>
      </c>
      <c r="T252" s="200">
        <f t="shared" si="7"/>
        <v>0</v>
      </c>
    </row>
    <row r="253" spans="1:20" ht="15">
      <c r="A253" s="415">
        <v>247</v>
      </c>
      <c r="B253" s="415">
        <v>220</v>
      </c>
      <c r="C253" s="66" t="s">
        <v>2402</v>
      </c>
      <c r="D253" s="66" t="s">
        <v>598</v>
      </c>
      <c r="E253" s="413" t="s">
        <v>2221</v>
      </c>
      <c r="F253" s="594">
        <v>2.52E-2</v>
      </c>
      <c r="G253" s="594">
        <v>0.18679999999999999</v>
      </c>
      <c r="H253" s="594">
        <v>0.19750000000000001</v>
      </c>
      <c r="J253" s="195"/>
      <c r="K253" s="232"/>
      <c r="M253" t="s">
        <v>599</v>
      </c>
      <c r="N253" t="s">
        <v>598</v>
      </c>
      <c r="O253" t="s">
        <v>1340</v>
      </c>
      <c r="P253" s="608">
        <v>2.52E-2</v>
      </c>
      <c r="Q253" s="608">
        <v>0.18679999999999999</v>
      </c>
      <c r="S253" s="200">
        <f t="shared" si="6"/>
        <v>0</v>
      </c>
      <c r="T253" s="200">
        <f t="shared" si="7"/>
        <v>0</v>
      </c>
    </row>
    <row r="254" spans="1:20" ht="15">
      <c r="A254" s="415">
        <v>248</v>
      </c>
      <c r="B254" s="415">
        <v>318</v>
      </c>
      <c r="C254" s="66" t="s">
        <v>2402</v>
      </c>
      <c r="D254" s="66" t="s">
        <v>600</v>
      </c>
      <c r="E254" s="413" t="s">
        <v>2222</v>
      </c>
      <c r="F254" s="594">
        <v>4.41E-2</v>
      </c>
      <c r="G254" s="594">
        <v>0.2102</v>
      </c>
      <c r="H254" s="594">
        <v>0.2296</v>
      </c>
      <c r="J254" s="195"/>
      <c r="K254" s="232"/>
      <c r="M254" t="s">
        <v>601</v>
      </c>
      <c r="N254" t="s">
        <v>600</v>
      </c>
      <c r="O254" t="s">
        <v>1322</v>
      </c>
      <c r="P254" s="608">
        <v>4.41E-2</v>
      </c>
      <c r="Q254" s="608">
        <v>0.2102</v>
      </c>
      <c r="S254" s="200">
        <f t="shared" si="6"/>
        <v>0</v>
      </c>
      <c r="T254" s="200">
        <f t="shared" si="7"/>
        <v>0</v>
      </c>
    </row>
    <row r="255" spans="1:20" ht="15">
      <c r="A255" s="415">
        <v>249</v>
      </c>
      <c r="B255" s="415">
        <v>195</v>
      </c>
      <c r="C255" s="66" t="s">
        <v>2402</v>
      </c>
      <c r="D255" s="66" t="s">
        <v>602</v>
      </c>
      <c r="E255" s="413" t="s">
        <v>2223</v>
      </c>
      <c r="F255" s="594">
        <v>3.6499999999999998E-2</v>
      </c>
      <c r="G255" s="594">
        <v>0.14530000000000001</v>
      </c>
      <c r="H255" s="594">
        <v>0.1492</v>
      </c>
      <c r="J255" s="195"/>
      <c r="K255" s="232"/>
      <c r="M255" t="s">
        <v>603</v>
      </c>
      <c r="N255" t="s">
        <v>602</v>
      </c>
      <c r="O255" t="s">
        <v>1321</v>
      </c>
      <c r="P255" s="608">
        <v>3.6499999999999998E-2</v>
      </c>
      <c r="Q255" s="608">
        <v>0.14530000000000001</v>
      </c>
      <c r="S255" s="200">
        <f t="shared" si="6"/>
        <v>0</v>
      </c>
      <c r="T255" s="200">
        <f t="shared" si="7"/>
        <v>0</v>
      </c>
    </row>
    <row r="256" spans="1:20" ht="15">
      <c r="A256" s="415">
        <v>250</v>
      </c>
      <c r="B256" s="415">
        <v>25</v>
      </c>
      <c r="C256" s="66" t="s">
        <v>2402</v>
      </c>
      <c r="D256" s="66" t="s">
        <v>604</v>
      </c>
      <c r="E256" s="413" t="s">
        <v>2224</v>
      </c>
      <c r="F256" s="594">
        <v>3.27E-2</v>
      </c>
      <c r="G256" s="594">
        <v>0.14680000000000001</v>
      </c>
      <c r="H256" s="594">
        <v>0.15029999999999999</v>
      </c>
      <c r="J256" s="195"/>
      <c r="K256" s="232"/>
      <c r="M256" t="s">
        <v>605</v>
      </c>
      <c r="N256" t="s">
        <v>604</v>
      </c>
      <c r="O256" t="s">
        <v>1226</v>
      </c>
      <c r="P256" s="597">
        <v>3.2399999999999998E-2</v>
      </c>
      <c r="Q256" s="608">
        <v>0.14680000000000001</v>
      </c>
      <c r="S256" s="200">
        <f t="shared" si="6"/>
        <v>3.0000000000000165E-4</v>
      </c>
      <c r="T256" s="200">
        <f t="shared" si="7"/>
        <v>0</v>
      </c>
    </row>
    <row r="257" spans="1:20" ht="15">
      <c r="A257" s="415">
        <v>251</v>
      </c>
      <c r="B257" s="415">
        <v>214</v>
      </c>
      <c r="C257" s="66" t="s">
        <v>2402</v>
      </c>
      <c r="D257" s="66" t="s">
        <v>606</v>
      </c>
      <c r="E257" s="413" t="s">
        <v>2225</v>
      </c>
      <c r="F257" s="594">
        <v>5.2200000000000003E-2</v>
      </c>
      <c r="G257" s="594">
        <v>0.19969999999999999</v>
      </c>
      <c r="H257" s="594">
        <v>0.22770000000000001</v>
      </c>
      <c r="J257" s="195"/>
      <c r="K257" s="232"/>
      <c r="M257" t="s">
        <v>607</v>
      </c>
      <c r="N257" t="s">
        <v>606</v>
      </c>
      <c r="O257" t="s">
        <v>1272</v>
      </c>
      <c r="P257" s="608">
        <v>5.2200000000000003E-2</v>
      </c>
      <c r="Q257" s="608">
        <v>0.19969999999999999</v>
      </c>
      <c r="S257" s="200">
        <f t="shared" si="6"/>
        <v>0</v>
      </c>
      <c r="T257" s="200">
        <f t="shared" si="7"/>
        <v>0</v>
      </c>
    </row>
    <row r="258" spans="1:20" ht="15">
      <c r="A258" s="415">
        <v>252</v>
      </c>
      <c r="B258" s="415">
        <v>173</v>
      </c>
      <c r="C258" s="66" t="s">
        <v>2402</v>
      </c>
      <c r="D258" s="66" t="s">
        <v>608</v>
      </c>
      <c r="E258" s="413" t="s">
        <v>2226</v>
      </c>
      <c r="F258" s="594">
        <v>2.7900000000000001E-2</v>
      </c>
      <c r="G258" s="594">
        <v>0.16500000000000001</v>
      </c>
      <c r="H258" s="594">
        <v>0.1603</v>
      </c>
      <c r="J258" s="195"/>
      <c r="K258" s="232"/>
      <c r="M258" t="s">
        <v>609</v>
      </c>
      <c r="N258" t="s">
        <v>608</v>
      </c>
      <c r="O258" t="s">
        <v>1229</v>
      </c>
      <c r="P258" s="608">
        <v>2.7900000000000001E-2</v>
      </c>
      <c r="Q258" s="608">
        <v>0.16500000000000001</v>
      </c>
      <c r="S258" s="200">
        <f t="shared" si="6"/>
        <v>0</v>
      </c>
      <c r="T258" s="200">
        <f t="shared" si="7"/>
        <v>0</v>
      </c>
    </row>
    <row r="259" spans="1:20" ht="15">
      <c r="A259" s="415">
        <v>253</v>
      </c>
      <c r="B259" s="415">
        <v>112</v>
      </c>
      <c r="C259" s="66" t="s">
        <v>2402</v>
      </c>
      <c r="D259" s="66" t="s">
        <v>610</v>
      </c>
      <c r="E259" s="413" t="s">
        <v>2227</v>
      </c>
      <c r="F259" s="594">
        <v>2.9499999999999998E-2</v>
      </c>
      <c r="G259" s="594">
        <v>0.17979999999999999</v>
      </c>
      <c r="H259" s="594">
        <v>0.1784</v>
      </c>
      <c r="J259" s="195"/>
      <c r="K259" s="232"/>
      <c r="M259" t="s">
        <v>1197</v>
      </c>
      <c r="N259" t="s">
        <v>610</v>
      </c>
      <c r="O259" t="s">
        <v>2445</v>
      </c>
      <c r="P259" s="608">
        <v>2.9499999999999998E-2</v>
      </c>
      <c r="Q259" s="608">
        <v>0.17979999999999999</v>
      </c>
      <c r="S259" s="200">
        <f t="shared" si="6"/>
        <v>0</v>
      </c>
      <c r="T259" s="200">
        <f t="shared" si="7"/>
        <v>0</v>
      </c>
    </row>
    <row r="260" spans="1:20" ht="15">
      <c r="A260" s="415">
        <v>254</v>
      </c>
      <c r="B260" s="415">
        <v>226</v>
      </c>
      <c r="C260" s="66" t="s">
        <v>2402</v>
      </c>
      <c r="D260" s="66" t="s">
        <v>611</v>
      </c>
      <c r="E260" s="413" t="s">
        <v>2228</v>
      </c>
      <c r="F260" s="594">
        <v>3.1399999999999997E-2</v>
      </c>
      <c r="G260" s="594">
        <v>0.24790000000000001</v>
      </c>
      <c r="H260" s="594">
        <v>0.25800000000000001</v>
      </c>
      <c r="J260" s="195"/>
      <c r="K260" s="232"/>
      <c r="M260" t="s">
        <v>612</v>
      </c>
      <c r="N260" t="s">
        <v>611</v>
      </c>
      <c r="O260" t="s">
        <v>1308</v>
      </c>
      <c r="P260" s="608">
        <v>3.1399999999999997E-2</v>
      </c>
      <c r="Q260" s="608">
        <v>0.24790000000000001</v>
      </c>
      <c r="S260" s="200">
        <f t="shared" si="6"/>
        <v>0</v>
      </c>
      <c r="T260" s="200">
        <f t="shared" si="7"/>
        <v>0</v>
      </c>
    </row>
    <row r="261" spans="1:20" ht="15">
      <c r="A261" s="415">
        <v>255</v>
      </c>
      <c r="B261" s="415">
        <v>104</v>
      </c>
      <c r="C261" s="66" t="s">
        <v>2402</v>
      </c>
      <c r="D261" s="66" t="s">
        <v>613</v>
      </c>
      <c r="E261" s="413" t="s">
        <v>2229</v>
      </c>
      <c r="F261" s="594">
        <v>4.5600000000000002E-2</v>
      </c>
      <c r="G261" s="594">
        <v>0.1895</v>
      </c>
      <c r="H261" s="594">
        <v>0.23699999999999999</v>
      </c>
      <c r="J261" s="195"/>
      <c r="K261" s="232"/>
      <c r="M261" t="s">
        <v>803</v>
      </c>
      <c r="N261" t="s">
        <v>613</v>
      </c>
      <c r="O261" t="s">
        <v>2487</v>
      </c>
      <c r="P261" s="608">
        <v>4.5600000000000002E-2</v>
      </c>
      <c r="Q261" s="608">
        <v>0.1895</v>
      </c>
      <c r="S261" s="200">
        <f t="shared" si="6"/>
        <v>0</v>
      </c>
      <c r="T261" s="200">
        <f t="shared" si="7"/>
        <v>0</v>
      </c>
    </row>
    <row r="262" spans="1:20" ht="15">
      <c r="A262" s="415">
        <v>256</v>
      </c>
      <c r="B262" s="415">
        <v>238</v>
      </c>
      <c r="C262" s="66" t="s">
        <v>2402</v>
      </c>
      <c r="D262" s="66" t="s">
        <v>614</v>
      </c>
      <c r="E262" s="413" t="s">
        <v>2230</v>
      </c>
      <c r="F262" s="594">
        <v>3.8199999999999998E-2</v>
      </c>
      <c r="G262" s="594">
        <v>0.19489999999999999</v>
      </c>
      <c r="H262" s="594">
        <v>0.18509999999999999</v>
      </c>
      <c r="J262" s="195"/>
      <c r="K262" s="232"/>
      <c r="M262" t="s">
        <v>615</v>
      </c>
      <c r="N262" t="s">
        <v>614</v>
      </c>
      <c r="O262" t="s">
        <v>1252</v>
      </c>
      <c r="P262" s="608">
        <v>3.8199999999999998E-2</v>
      </c>
      <c r="Q262" s="608">
        <v>0.19489999999999999</v>
      </c>
      <c r="S262" s="200">
        <f t="shared" si="6"/>
        <v>0</v>
      </c>
      <c r="T262" s="200">
        <f t="shared" si="7"/>
        <v>0</v>
      </c>
    </row>
    <row r="263" spans="1:20" ht="15">
      <c r="A263" s="415">
        <v>257</v>
      </c>
      <c r="B263" s="415">
        <v>110</v>
      </c>
      <c r="C263" s="66" t="s">
        <v>2402</v>
      </c>
      <c r="D263" s="66" t="s">
        <v>616</v>
      </c>
      <c r="E263" s="413" t="s">
        <v>2231</v>
      </c>
      <c r="F263" s="594">
        <v>3.6400000000000002E-2</v>
      </c>
      <c r="G263" s="594">
        <v>0.22720000000000001</v>
      </c>
      <c r="H263" s="594">
        <v>0.22839999999999999</v>
      </c>
      <c r="J263" s="195"/>
      <c r="K263" s="232"/>
      <c r="M263" t="s">
        <v>617</v>
      </c>
      <c r="N263" t="s">
        <v>616</v>
      </c>
      <c r="O263" t="s">
        <v>1395</v>
      </c>
      <c r="P263" s="608">
        <v>3.6400000000000002E-2</v>
      </c>
      <c r="Q263" s="608">
        <v>0.22720000000000001</v>
      </c>
      <c r="S263" s="200">
        <f t="shared" ref="S263:S326" si="8">+F263-P263</f>
        <v>0</v>
      </c>
      <c r="T263" s="200">
        <f t="shared" ref="T263:T326" si="9">+G263-Q263</f>
        <v>0</v>
      </c>
    </row>
    <row r="264" spans="1:20" ht="15">
      <c r="A264" s="415">
        <v>258</v>
      </c>
      <c r="B264" s="415">
        <v>70</v>
      </c>
      <c r="C264" s="66"/>
      <c r="D264" s="419" t="s">
        <v>766</v>
      </c>
      <c r="E264" s="417" t="s">
        <v>1583</v>
      </c>
      <c r="F264" s="420">
        <v>0</v>
      </c>
      <c r="G264" s="473">
        <v>0.11</v>
      </c>
      <c r="H264" s="420">
        <v>0</v>
      </c>
      <c r="J264" s="195"/>
      <c r="K264" s="232"/>
      <c r="M264" t="s">
        <v>1583</v>
      </c>
      <c r="N264" t="s">
        <v>766</v>
      </c>
      <c r="O264" t="s">
        <v>1648</v>
      </c>
      <c r="P264" s="608"/>
      <c r="Q264" s="608">
        <v>0.11</v>
      </c>
      <c r="S264" s="200">
        <f t="shared" si="8"/>
        <v>0</v>
      </c>
      <c r="T264" s="200">
        <f t="shared" si="9"/>
        <v>0</v>
      </c>
    </row>
    <row r="265" spans="1:20" ht="15">
      <c r="A265" s="415">
        <v>259</v>
      </c>
      <c r="B265" s="415">
        <v>189</v>
      </c>
      <c r="C265" s="66" t="s">
        <v>2402</v>
      </c>
      <c r="D265" s="66" t="s">
        <v>1418</v>
      </c>
      <c r="E265" s="413" t="s">
        <v>2232</v>
      </c>
      <c r="F265" s="594">
        <v>5.8599999999999999E-2</v>
      </c>
      <c r="G265" s="594">
        <v>0.44259999999999999</v>
      </c>
      <c r="H265" s="594">
        <v>0.30280000000000001</v>
      </c>
      <c r="J265" s="195"/>
      <c r="K265" s="232"/>
      <c r="M265" t="s">
        <v>1594</v>
      </c>
      <c r="N265" t="s">
        <v>1418</v>
      </c>
      <c r="O265" t="s">
        <v>2477</v>
      </c>
      <c r="P265" s="608">
        <v>5.8599999999999999E-2</v>
      </c>
      <c r="Q265" s="608">
        <v>0.44259999999999999</v>
      </c>
      <c r="S265" s="200">
        <f t="shared" si="8"/>
        <v>0</v>
      </c>
      <c r="T265" s="200">
        <f t="shared" si="9"/>
        <v>0</v>
      </c>
    </row>
    <row r="266" spans="1:20" ht="15">
      <c r="A266" s="415">
        <v>260</v>
      </c>
      <c r="B266" s="415">
        <v>130</v>
      </c>
      <c r="C266" s="66" t="s">
        <v>2405</v>
      </c>
      <c r="D266" s="66" t="s">
        <v>1577</v>
      </c>
      <c r="E266" s="413" t="s">
        <v>2233</v>
      </c>
      <c r="F266" s="595">
        <v>3.8699999999999998E-2</v>
      </c>
      <c r="G266" s="595">
        <v>0.1535</v>
      </c>
      <c r="H266" s="595">
        <v>0.1535</v>
      </c>
      <c r="J266" s="195"/>
      <c r="K266" s="232"/>
      <c r="M266" t="s">
        <v>1591</v>
      </c>
      <c r="N266" t="s">
        <v>1577</v>
      </c>
      <c r="O266" t="s">
        <v>2459</v>
      </c>
      <c r="P266" s="608">
        <v>3.8699999999999998E-2</v>
      </c>
      <c r="Q266" s="608">
        <v>0.1535</v>
      </c>
      <c r="S266" s="200">
        <f t="shared" si="8"/>
        <v>0</v>
      </c>
      <c r="T266" s="200">
        <f t="shared" si="9"/>
        <v>0</v>
      </c>
    </row>
    <row r="267" spans="1:20" ht="15">
      <c r="A267" s="415">
        <v>261</v>
      </c>
      <c r="B267" s="415">
        <v>91</v>
      </c>
      <c r="C267" s="66" t="s">
        <v>2402</v>
      </c>
      <c r="D267" s="66" t="s">
        <v>1378</v>
      </c>
      <c r="E267" s="600" t="s">
        <v>2626</v>
      </c>
      <c r="F267" s="594">
        <v>6.6799999999999998E-2</v>
      </c>
      <c r="G267" s="594">
        <v>0.27239999999999998</v>
      </c>
      <c r="H267" s="594">
        <v>0.26910000000000001</v>
      </c>
      <c r="J267" s="195"/>
      <c r="K267" s="232"/>
      <c r="M267" s="600" t="s">
        <v>2626</v>
      </c>
      <c r="N267" t="s">
        <v>1378</v>
      </c>
      <c r="O267" t="s">
        <v>2467</v>
      </c>
      <c r="P267" s="608">
        <v>6.6799999999999998E-2</v>
      </c>
      <c r="Q267" s="608">
        <v>0.27239999999999998</v>
      </c>
      <c r="S267" s="200">
        <f t="shared" si="8"/>
        <v>0</v>
      </c>
      <c r="T267" s="200">
        <f t="shared" si="9"/>
        <v>0</v>
      </c>
    </row>
    <row r="268" spans="1:20" ht="15">
      <c r="A268" s="415">
        <v>262</v>
      </c>
      <c r="B268" s="415">
        <v>171</v>
      </c>
      <c r="C268" s="66" t="s">
        <v>2402</v>
      </c>
      <c r="D268" s="66" t="s">
        <v>618</v>
      </c>
      <c r="E268" s="413" t="s">
        <v>2234</v>
      </c>
      <c r="F268" s="594">
        <v>7.7499999999999999E-2</v>
      </c>
      <c r="G268" s="594">
        <v>0.2319</v>
      </c>
      <c r="H268" s="594">
        <v>0.25659999999999999</v>
      </c>
      <c r="J268" s="195"/>
      <c r="K268" s="232"/>
      <c r="M268" t="s">
        <v>619</v>
      </c>
      <c r="N268" t="s">
        <v>618</v>
      </c>
      <c r="O268" t="s">
        <v>1359</v>
      </c>
      <c r="P268" s="608">
        <v>7.7499999999999999E-2</v>
      </c>
      <c r="Q268" s="608">
        <v>0.2319</v>
      </c>
      <c r="S268" s="200">
        <f t="shared" si="8"/>
        <v>0</v>
      </c>
      <c r="T268" s="200">
        <f t="shared" si="9"/>
        <v>0</v>
      </c>
    </row>
    <row r="269" spans="1:20" ht="15">
      <c r="A269" s="415">
        <v>263</v>
      </c>
      <c r="B269" s="415">
        <v>244</v>
      </c>
      <c r="C269" s="66" t="s">
        <v>2402</v>
      </c>
      <c r="D269" s="66" t="s">
        <v>620</v>
      </c>
      <c r="E269" s="413" t="s">
        <v>2235</v>
      </c>
      <c r="F269" s="594">
        <v>3.0599999999999999E-2</v>
      </c>
      <c r="G269" s="594">
        <v>0.2001</v>
      </c>
      <c r="H269" s="594">
        <v>0.23719999999999999</v>
      </c>
      <c r="J269" s="195"/>
      <c r="K269" s="232"/>
      <c r="M269" t="s">
        <v>621</v>
      </c>
      <c r="N269" t="s">
        <v>620</v>
      </c>
      <c r="O269" t="s">
        <v>1230</v>
      </c>
      <c r="P269" s="608">
        <v>3.0599999999999999E-2</v>
      </c>
      <c r="Q269" s="608">
        <v>0.2001</v>
      </c>
      <c r="S269" s="200">
        <f t="shared" si="8"/>
        <v>0</v>
      </c>
      <c r="T269" s="200">
        <f t="shared" si="9"/>
        <v>0</v>
      </c>
    </row>
    <row r="270" spans="1:20" ht="15">
      <c r="A270" s="415">
        <v>264</v>
      </c>
      <c r="B270" s="415">
        <v>259</v>
      </c>
      <c r="C270" s="66" t="s">
        <v>2402</v>
      </c>
      <c r="D270" s="66" t="s">
        <v>622</v>
      </c>
      <c r="E270" s="413" t="s">
        <v>2236</v>
      </c>
      <c r="F270" s="594">
        <v>7.1999999999999995E-2</v>
      </c>
      <c r="G270" s="594">
        <v>0.3402</v>
      </c>
      <c r="H270" s="594">
        <v>0.27</v>
      </c>
      <c r="J270" s="195"/>
      <c r="K270" s="232"/>
      <c r="M270" t="s">
        <v>623</v>
      </c>
      <c r="N270" t="s">
        <v>622</v>
      </c>
      <c r="O270" t="s">
        <v>1458</v>
      </c>
      <c r="P270" s="608">
        <v>7.1999999999999995E-2</v>
      </c>
      <c r="Q270" s="608">
        <v>0.3402</v>
      </c>
      <c r="S270" s="200">
        <f t="shared" si="8"/>
        <v>0</v>
      </c>
      <c r="T270" s="200">
        <f t="shared" si="9"/>
        <v>0</v>
      </c>
    </row>
    <row r="271" spans="1:20" ht="15">
      <c r="A271" s="415">
        <v>265</v>
      </c>
      <c r="B271" s="415">
        <v>163</v>
      </c>
      <c r="C271" s="66" t="s">
        <v>2402</v>
      </c>
      <c r="D271" s="66" t="s">
        <v>624</v>
      </c>
      <c r="E271" s="413" t="s">
        <v>2237</v>
      </c>
      <c r="F271" s="594">
        <v>6.7400000000000002E-2</v>
      </c>
      <c r="G271" s="594">
        <v>0.26919999999999999</v>
      </c>
      <c r="H271" s="594">
        <v>0.24249999999999999</v>
      </c>
      <c r="J271" s="195"/>
      <c r="K271" s="232"/>
      <c r="M271" t="s">
        <v>625</v>
      </c>
      <c r="N271" t="s">
        <v>624</v>
      </c>
      <c r="O271" t="s">
        <v>1447</v>
      </c>
      <c r="P271" s="608">
        <v>6.7400000000000002E-2</v>
      </c>
      <c r="Q271" s="608">
        <v>0.26919999999999999</v>
      </c>
      <c r="S271" s="200">
        <f t="shared" si="8"/>
        <v>0</v>
      </c>
      <c r="T271" s="200">
        <f t="shared" si="9"/>
        <v>0</v>
      </c>
    </row>
    <row r="272" spans="1:20" ht="15">
      <c r="A272" s="415">
        <v>266</v>
      </c>
      <c r="B272" s="415">
        <v>312</v>
      </c>
      <c r="C272" s="66" t="s">
        <v>2402</v>
      </c>
      <c r="D272" s="66" t="s">
        <v>626</v>
      </c>
      <c r="E272" s="413" t="s">
        <v>2238</v>
      </c>
      <c r="F272" s="594">
        <v>2.7300000000000001E-2</v>
      </c>
      <c r="G272" s="594">
        <v>0.22850000000000001</v>
      </c>
      <c r="H272" s="594">
        <v>0.29609999999999997</v>
      </c>
      <c r="J272" s="195"/>
      <c r="K272" s="232"/>
      <c r="M272" t="s">
        <v>627</v>
      </c>
      <c r="N272" t="s">
        <v>626</v>
      </c>
      <c r="O272" t="s">
        <v>1239</v>
      </c>
      <c r="P272" s="608">
        <v>2.7300000000000001E-2</v>
      </c>
      <c r="Q272" s="608">
        <v>0.22850000000000001</v>
      </c>
      <c r="S272" s="200">
        <f t="shared" si="8"/>
        <v>0</v>
      </c>
      <c r="T272" s="200">
        <f t="shared" si="9"/>
        <v>0</v>
      </c>
    </row>
    <row r="273" spans="1:20" ht="15">
      <c r="A273" s="415">
        <v>267</v>
      </c>
      <c r="B273" s="415">
        <v>243</v>
      </c>
      <c r="C273" s="66" t="s">
        <v>2402</v>
      </c>
      <c r="D273" s="66" t="s">
        <v>628</v>
      </c>
      <c r="E273" s="413" t="s">
        <v>2239</v>
      </c>
      <c r="F273" s="594">
        <v>0.13719999999999999</v>
      </c>
      <c r="G273" s="594">
        <v>0.32100000000000001</v>
      </c>
      <c r="H273" s="594">
        <v>0.32150000000000001</v>
      </c>
      <c r="J273" s="195"/>
      <c r="K273" s="232"/>
      <c r="M273" t="s">
        <v>629</v>
      </c>
      <c r="N273" t="s">
        <v>628</v>
      </c>
      <c r="O273" t="s">
        <v>1311</v>
      </c>
      <c r="P273" s="608">
        <v>0.13719999999999999</v>
      </c>
      <c r="Q273" s="608">
        <v>0.32100000000000001</v>
      </c>
      <c r="S273" s="200">
        <f t="shared" si="8"/>
        <v>0</v>
      </c>
      <c r="T273" s="200">
        <f t="shared" si="9"/>
        <v>0</v>
      </c>
    </row>
    <row r="274" spans="1:20" ht="15">
      <c r="A274" s="415">
        <v>268</v>
      </c>
      <c r="B274" s="415">
        <v>62</v>
      </c>
      <c r="C274" s="66" t="s">
        <v>2402</v>
      </c>
      <c r="D274" s="66" t="s">
        <v>630</v>
      </c>
      <c r="E274" s="413" t="s">
        <v>2240</v>
      </c>
      <c r="F274" s="594">
        <v>9.2799999999999994E-2</v>
      </c>
      <c r="G274" s="594">
        <v>0.22170000000000001</v>
      </c>
      <c r="H274" s="594">
        <v>1.43E-2</v>
      </c>
      <c r="J274" s="195"/>
      <c r="K274" s="232"/>
      <c r="M274" t="s">
        <v>631</v>
      </c>
      <c r="N274" t="s">
        <v>630</v>
      </c>
      <c r="O274" t="s">
        <v>1428</v>
      </c>
      <c r="P274" s="608">
        <v>9.2799999999999994E-2</v>
      </c>
      <c r="Q274" s="608">
        <v>0.22170000000000001</v>
      </c>
      <c r="S274" s="200">
        <f t="shared" si="8"/>
        <v>0</v>
      </c>
      <c r="T274" s="200">
        <f t="shared" si="9"/>
        <v>0</v>
      </c>
    </row>
    <row r="275" spans="1:20" ht="15">
      <c r="A275" s="415">
        <v>269</v>
      </c>
      <c r="B275" s="415">
        <v>42</v>
      </c>
      <c r="C275" s="66" t="s">
        <v>2402</v>
      </c>
      <c r="D275" s="66" t="s">
        <v>632</v>
      </c>
      <c r="E275" s="413" t="s">
        <v>2241</v>
      </c>
      <c r="F275" s="594">
        <v>0.1757</v>
      </c>
      <c r="G275" s="594">
        <v>0.28370000000000001</v>
      </c>
      <c r="H275" s="594">
        <v>0.32040000000000002</v>
      </c>
      <c r="J275" s="195"/>
      <c r="K275" s="232"/>
      <c r="M275" t="s">
        <v>804</v>
      </c>
      <c r="N275" t="s">
        <v>632</v>
      </c>
      <c r="O275" t="s">
        <v>2452</v>
      </c>
      <c r="P275" s="608">
        <v>0.1757</v>
      </c>
      <c r="Q275" s="608">
        <v>0.28370000000000001</v>
      </c>
      <c r="S275" s="200">
        <f t="shared" si="8"/>
        <v>0</v>
      </c>
      <c r="T275" s="200">
        <f t="shared" si="9"/>
        <v>0</v>
      </c>
    </row>
    <row r="276" spans="1:20" ht="15">
      <c r="A276" s="415">
        <v>270</v>
      </c>
      <c r="B276" s="415">
        <v>15</v>
      </c>
      <c r="C276" s="66" t="s">
        <v>2402</v>
      </c>
      <c r="D276" s="66" t="s">
        <v>633</v>
      </c>
      <c r="E276" s="413" t="s">
        <v>2242</v>
      </c>
      <c r="F276" s="594">
        <v>4.7699999999999999E-2</v>
      </c>
      <c r="G276" s="594">
        <v>0.34570000000000001</v>
      </c>
      <c r="H276" s="594">
        <v>0.3236</v>
      </c>
      <c r="J276" s="195"/>
      <c r="K276" s="232"/>
      <c r="M276" t="s">
        <v>805</v>
      </c>
      <c r="N276" t="s">
        <v>633</v>
      </c>
      <c r="O276" t="s">
        <v>1238</v>
      </c>
      <c r="P276" s="608">
        <v>4.7699999999999999E-2</v>
      </c>
      <c r="Q276" s="608">
        <v>0.34570000000000001</v>
      </c>
      <c r="S276" s="200">
        <f t="shared" si="8"/>
        <v>0</v>
      </c>
      <c r="T276" s="200">
        <f t="shared" si="9"/>
        <v>0</v>
      </c>
    </row>
    <row r="277" spans="1:20" ht="15">
      <c r="A277" s="415">
        <v>271</v>
      </c>
      <c r="B277" s="415">
        <v>196</v>
      </c>
      <c r="C277" s="66" t="s">
        <v>2402</v>
      </c>
      <c r="D277" s="66" t="s">
        <v>634</v>
      </c>
      <c r="E277" s="413" t="s">
        <v>2243</v>
      </c>
      <c r="F277" s="594">
        <v>4.7E-2</v>
      </c>
      <c r="G277" s="594">
        <v>0.23039999999999999</v>
      </c>
      <c r="H277" s="594">
        <v>0.18820000000000001</v>
      </c>
      <c r="J277" s="195"/>
      <c r="K277" s="232"/>
      <c r="M277" t="s">
        <v>635</v>
      </c>
      <c r="N277" t="s">
        <v>634</v>
      </c>
      <c r="O277" t="s">
        <v>1319</v>
      </c>
      <c r="P277" s="608">
        <v>4.7E-2</v>
      </c>
      <c r="Q277" s="608">
        <v>0.23039999999999999</v>
      </c>
      <c r="S277" s="200">
        <f t="shared" si="8"/>
        <v>0</v>
      </c>
      <c r="T277" s="200">
        <f t="shared" si="9"/>
        <v>0</v>
      </c>
    </row>
    <row r="278" spans="1:20" ht="15">
      <c r="A278" s="415">
        <v>272</v>
      </c>
      <c r="B278" s="415">
        <v>308</v>
      </c>
      <c r="C278" s="66" t="s">
        <v>2402</v>
      </c>
      <c r="D278" s="66" t="s">
        <v>636</v>
      </c>
      <c r="E278" s="413" t="s">
        <v>2244</v>
      </c>
      <c r="F278" s="594">
        <v>4.2000000000000003E-2</v>
      </c>
      <c r="G278" s="594">
        <v>0.28170000000000001</v>
      </c>
      <c r="H278" s="594">
        <v>0.2969</v>
      </c>
      <c r="J278" s="195"/>
      <c r="K278" s="232"/>
      <c r="M278" t="s">
        <v>637</v>
      </c>
      <c r="N278" t="s">
        <v>636</v>
      </c>
      <c r="O278" t="s">
        <v>1347</v>
      </c>
      <c r="P278" s="608">
        <v>4.2000000000000003E-2</v>
      </c>
      <c r="Q278" s="608">
        <v>0.28170000000000001</v>
      </c>
      <c r="S278" s="200">
        <f t="shared" si="8"/>
        <v>0</v>
      </c>
      <c r="T278" s="200">
        <f t="shared" si="9"/>
        <v>0</v>
      </c>
    </row>
    <row r="279" spans="1:20" ht="15">
      <c r="A279" s="415">
        <v>273</v>
      </c>
      <c r="B279" s="415">
        <v>229</v>
      </c>
      <c r="C279" s="66" t="s">
        <v>2402</v>
      </c>
      <c r="D279" s="66" t="s">
        <v>638</v>
      </c>
      <c r="E279" s="413" t="s">
        <v>2245</v>
      </c>
      <c r="F279" s="594">
        <v>4.4499999999999998E-2</v>
      </c>
      <c r="G279" s="594">
        <v>0.23069999999999999</v>
      </c>
      <c r="H279" s="594">
        <v>0.2324</v>
      </c>
      <c r="J279" s="195"/>
      <c r="K279" s="232"/>
      <c r="M279" t="s">
        <v>639</v>
      </c>
      <c r="N279" t="s">
        <v>638</v>
      </c>
      <c r="O279" t="s">
        <v>1299</v>
      </c>
      <c r="P279" s="608">
        <v>4.4499999999999998E-2</v>
      </c>
      <c r="Q279" s="608">
        <v>0.23069999999999999</v>
      </c>
      <c r="S279" s="200">
        <f t="shared" si="8"/>
        <v>0</v>
      </c>
      <c r="T279" s="200">
        <f t="shared" si="9"/>
        <v>0</v>
      </c>
    </row>
    <row r="280" spans="1:20" ht="15">
      <c r="A280" s="415">
        <v>274</v>
      </c>
      <c r="B280" s="415">
        <v>240</v>
      </c>
      <c r="C280" s="66" t="s">
        <v>2409</v>
      </c>
      <c r="D280" s="66" t="s">
        <v>640</v>
      </c>
      <c r="E280" s="413" t="s">
        <v>2246</v>
      </c>
      <c r="F280" s="594">
        <v>1.8599999999999998E-2</v>
      </c>
      <c r="G280" s="594">
        <v>0.13900000000000001</v>
      </c>
      <c r="H280" s="594">
        <v>0.1202</v>
      </c>
      <c r="J280" s="195"/>
      <c r="K280" s="232"/>
      <c r="M280" t="s">
        <v>641</v>
      </c>
      <c r="N280" t="s">
        <v>640</v>
      </c>
      <c r="O280" t="s">
        <v>1470</v>
      </c>
      <c r="P280" s="608">
        <v>1.8599999999999998E-2</v>
      </c>
      <c r="Q280" s="608">
        <v>0.13900000000000001</v>
      </c>
      <c r="S280" s="200">
        <f t="shared" si="8"/>
        <v>0</v>
      </c>
      <c r="T280" s="200">
        <f t="shared" si="9"/>
        <v>0</v>
      </c>
    </row>
    <row r="281" spans="1:20" ht="15">
      <c r="A281" s="415">
        <v>275</v>
      </c>
      <c r="B281" s="415">
        <v>268</v>
      </c>
      <c r="C281" s="66" t="s">
        <v>2409</v>
      </c>
      <c r="D281" s="66" t="s">
        <v>642</v>
      </c>
      <c r="E281" s="413" t="s">
        <v>2247</v>
      </c>
      <c r="F281" s="594">
        <v>3.1399999999999997E-2</v>
      </c>
      <c r="G281" s="594">
        <v>0.1245</v>
      </c>
      <c r="H281" s="594">
        <v>0.1208</v>
      </c>
      <c r="J281" s="195"/>
      <c r="K281" s="232"/>
      <c r="M281" t="s">
        <v>643</v>
      </c>
      <c r="N281" t="s">
        <v>642</v>
      </c>
      <c r="O281" t="s">
        <v>2465</v>
      </c>
      <c r="P281" s="608">
        <v>3.1399999999999997E-2</v>
      </c>
      <c r="Q281" s="608">
        <v>0.1245</v>
      </c>
      <c r="S281" s="200">
        <f t="shared" si="8"/>
        <v>0</v>
      </c>
      <c r="T281" s="200">
        <f t="shared" si="9"/>
        <v>0</v>
      </c>
    </row>
    <row r="282" spans="1:20" ht="15">
      <c r="A282" s="415">
        <v>276</v>
      </c>
      <c r="B282" s="415">
        <v>119</v>
      </c>
      <c r="C282" s="66" t="s">
        <v>2409</v>
      </c>
      <c r="D282" s="66" t="s">
        <v>644</v>
      </c>
      <c r="E282" s="413" t="s">
        <v>2248</v>
      </c>
      <c r="F282" s="594">
        <v>4.4699999999999997E-2</v>
      </c>
      <c r="G282" s="594">
        <v>0.15859999999999999</v>
      </c>
      <c r="H282" s="594">
        <v>0.16550000000000001</v>
      </c>
      <c r="J282" s="195"/>
      <c r="K282" s="232"/>
      <c r="M282" t="s">
        <v>645</v>
      </c>
      <c r="N282" t="s">
        <v>644</v>
      </c>
      <c r="O282" t="s">
        <v>1444</v>
      </c>
      <c r="P282" s="608">
        <v>4.4699999999999997E-2</v>
      </c>
      <c r="Q282" s="608">
        <v>0.15859999999999999</v>
      </c>
      <c r="S282" s="200">
        <f t="shared" si="8"/>
        <v>0</v>
      </c>
      <c r="T282" s="200">
        <f t="shared" si="9"/>
        <v>0</v>
      </c>
    </row>
    <row r="283" spans="1:20" ht="15">
      <c r="A283" s="415">
        <v>277</v>
      </c>
      <c r="B283" s="415">
        <v>213</v>
      </c>
      <c r="C283" s="66" t="s">
        <v>2409</v>
      </c>
      <c r="D283" s="66" t="s">
        <v>646</v>
      </c>
      <c r="E283" s="413" t="s">
        <v>2249</v>
      </c>
      <c r="F283" s="594">
        <v>2.64E-2</v>
      </c>
      <c r="G283" s="594">
        <v>0.15579999999999999</v>
      </c>
      <c r="H283" s="594">
        <v>0.14449999999999999</v>
      </c>
      <c r="J283" s="195"/>
      <c r="K283" s="232"/>
      <c r="M283" t="s">
        <v>647</v>
      </c>
      <c r="N283" t="s">
        <v>646</v>
      </c>
      <c r="O283" t="s">
        <v>1356</v>
      </c>
      <c r="P283" s="608">
        <v>2.64E-2</v>
      </c>
      <c r="Q283" s="608">
        <v>0.15579999999999999</v>
      </c>
      <c r="S283" s="200">
        <f t="shared" si="8"/>
        <v>0</v>
      </c>
      <c r="T283" s="200">
        <f t="shared" si="9"/>
        <v>0</v>
      </c>
    </row>
    <row r="284" spans="1:20" ht="15">
      <c r="A284" s="415">
        <v>278</v>
      </c>
      <c r="B284" s="415">
        <v>117</v>
      </c>
      <c r="C284" s="66" t="s">
        <v>2409</v>
      </c>
      <c r="D284" s="66" t="s">
        <v>648</v>
      </c>
      <c r="E284" s="413" t="s">
        <v>2250</v>
      </c>
      <c r="F284" s="594">
        <v>3.1800000000000002E-2</v>
      </c>
      <c r="G284" s="594">
        <v>0.2374</v>
      </c>
      <c r="H284" s="594">
        <v>0.22869999999999999</v>
      </c>
      <c r="J284" s="195"/>
      <c r="K284" s="232"/>
      <c r="M284" t="s">
        <v>649</v>
      </c>
      <c r="N284" t="s">
        <v>648</v>
      </c>
      <c r="O284" t="s">
        <v>1386</v>
      </c>
      <c r="P284" s="608">
        <v>3.1800000000000002E-2</v>
      </c>
      <c r="Q284" s="608">
        <v>0.2374</v>
      </c>
      <c r="S284" s="200">
        <f t="shared" si="8"/>
        <v>0</v>
      </c>
      <c r="T284" s="200">
        <f t="shared" si="9"/>
        <v>0</v>
      </c>
    </row>
    <row r="285" spans="1:20" ht="15">
      <c r="A285" s="415">
        <v>279</v>
      </c>
      <c r="B285" s="415">
        <v>201</v>
      </c>
      <c r="C285" s="66" t="s">
        <v>2409</v>
      </c>
      <c r="D285" s="66" t="s">
        <v>650</v>
      </c>
      <c r="E285" s="413" t="s">
        <v>2251</v>
      </c>
      <c r="F285" s="594">
        <v>3.09E-2</v>
      </c>
      <c r="G285" s="594">
        <v>0.25459999999999999</v>
      </c>
      <c r="H285" s="594">
        <v>0.28910000000000002</v>
      </c>
      <c r="J285" s="195"/>
      <c r="K285" s="232"/>
      <c r="M285" t="s">
        <v>651</v>
      </c>
      <c r="N285" t="s">
        <v>650</v>
      </c>
      <c r="O285" t="s">
        <v>1283</v>
      </c>
      <c r="P285" s="608">
        <v>3.09E-2</v>
      </c>
      <c r="Q285" s="608">
        <v>0.25459999999999999</v>
      </c>
      <c r="S285" s="200">
        <f t="shared" si="8"/>
        <v>0</v>
      </c>
      <c r="T285" s="200">
        <f t="shared" si="9"/>
        <v>0</v>
      </c>
    </row>
    <row r="286" spans="1:20" ht="15">
      <c r="A286" s="415">
        <v>280</v>
      </c>
      <c r="B286" s="415">
        <v>321</v>
      </c>
      <c r="C286" s="66" t="s">
        <v>2409</v>
      </c>
      <c r="D286" s="66" t="s">
        <v>652</v>
      </c>
      <c r="E286" s="413" t="s">
        <v>2252</v>
      </c>
      <c r="F286" s="594">
        <v>2.35E-2</v>
      </c>
      <c r="G286" s="594">
        <v>0.13930000000000001</v>
      </c>
      <c r="H286" s="594">
        <v>0.1444</v>
      </c>
      <c r="J286" s="195"/>
      <c r="K286" s="232"/>
      <c r="M286" t="s">
        <v>653</v>
      </c>
      <c r="N286" t="s">
        <v>652</v>
      </c>
      <c r="O286" t="s">
        <v>1397</v>
      </c>
      <c r="P286" s="608">
        <v>2.35E-2</v>
      </c>
      <c r="Q286" s="608">
        <v>0.13930000000000001</v>
      </c>
      <c r="S286" s="200">
        <f t="shared" si="8"/>
        <v>0</v>
      </c>
      <c r="T286" s="200">
        <f t="shared" si="9"/>
        <v>0</v>
      </c>
    </row>
    <row r="287" spans="1:20" ht="15">
      <c r="A287" s="415">
        <v>281</v>
      </c>
      <c r="B287" s="415">
        <v>133</v>
      </c>
      <c r="C287" s="66" t="s">
        <v>2409</v>
      </c>
      <c r="D287" s="66" t="s">
        <v>654</v>
      </c>
      <c r="E287" s="413" t="s">
        <v>2253</v>
      </c>
      <c r="F287" s="594">
        <v>1.29E-2</v>
      </c>
      <c r="G287" s="594">
        <v>0.18459999999999999</v>
      </c>
      <c r="H287" s="594">
        <v>0.18959999999999999</v>
      </c>
      <c r="J287" s="195"/>
      <c r="K287" s="232"/>
      <c r="M287" t="s">
        <v>655</v>
      </c>
      <c r="N287" t="s">
        <v>654</v>
      </c>
      <c r="O287" t="s">
        <v>1435</v>
      </c>
      <c r="P287" s="608">
        <v>1.29E-2</v>
      </c>
      <c r="Q287" s="608">
        <v>0.18459999999999999</v>
      </c>
      <c r="S287" s="200">
        <f t="shared" si="8"/>
        <v>0</v>
      </c>
      <c r="T287" s="200">
        <f t="shared" si="9"/>
        <v>0</v>
      </c>
    </row>
    <row r="288" spans="1:20" ht="15">
      <c r="A288" s="415">
        <v>282</v>
      </c>
      <c r="B288" s="415">
        <v>198</v>
      </c>
      <c r="C288" s="66"/>
      <c r="D288" s="419" t="s">
        <v>767</v>
      </c>
      <c r="E288" s="417" t="s">
        <v>1586</v>
      </c>
      <c r="F288" s="420">
        <v>0</v>
      </c>
      <c r="G288" s="473">
        <v>0.11</v>
      </c>
      <c r="H288" s="420">
        <v>0</v>
      </c>
      <c r="J288" s="195"/>
      <c r="K288" s="232"/>
      <c r="M288" t="s">
        <v>1586</v>
      </c>
      <c r="N288" t="s">
        <v>767</v>
      </c>
      <c r="O288" t="s">
        <v>2447</v>
      </c>
      <c r="P288" s="608"/>
      <c r="Q288" s="608">
        <v>0.11</v>
      </c>
      <c r="S288" s="200">
        <f t="shared" si="8"/>
        <v>0</v>
      </c>
      <c r="T288" s="200">
        <f t="shared" si="9"/>
        <v>0</v>
      </c>
    </row>
    <row r="289" spans="1:20" ht="15">
      <c r="A289" s="415">
        <v>283</v>
      </c>
      <c r="B289" s="415">
        <v>82</v>
      </c>
      <c r="C289" s="66" t="s">
        <v>2405</v>
      </c>
      <c r="D289" s="66" t="s">
        <v>1503</v>
      </c>
      <c r="E289" s="413" t="s">
        <v>2254</v>
      </c>
      <c r="F289" s="595">
        <v>3.8699999999999998E-2</v>
      </c>
      <c r="G289" s="595">
        <v>0.1535</v>
      </c>
      <c r="H289" s="595">
        <v>0.1535</v>
      </c>
      <c r="J289" s="195"/>
      <c r="K289" s="232"/>
      <c r="M289" t="s">
        <v>1502</v>
      </c>
      <c r="N289" t="s">
        <v>1503</v>
      </c>
      <c r="O289" t="s">
        <v>2485</v>
      </c>
      <c r="P289" s="608">
        <v>3.8699999999999998E-2</v>
      </c>
      <c r="Q289" s="608">
        <v>0.1535</v>
      </c>
      <c r="S289" s="200">
        <f t="shared" si="8"/>
        <v>0</v>
      </c>
      <c r="T289" s="200">
        <f t="shared" si="9"/>
        <v>0</v>
      </c>
    </row>
    <row r="290" spans="1:20" ht="15">
      <c r="A290" s="415">
        <v>284</v>
      </c>
      <c r="B290" s="415">
        <v>109</v>
      </c>
      <c r="C290" s="66" t="s">
        <v>2407</v>
      </c>
      <c r="D290" s="66" t="s">
        <v>656</v>
      </c>
      <c r="E290" s="413" t="s">
        <v>2255</v>
      </c>
      <c r="F290" s="594">
        <v>6.3399999999999998E-2</v>
      </c>
      <c r="G290" s="594">
        <v>0.32969999999999999</v>
      </c>
      <c r="H290" s="594">
        <v>0.44590000000000002</v>
      </c>
      <c r="J290" s="195"/>
      <c r="K290" s="232"/>
      <c r="M290" t="s">
        <v>657</v>
      </c>
      <c r="N290" t="s">
        <v>656</v>
      </c>
      <c r="O290" t="s">
        <v>1450</v>
      </c>
      <c r="P290" s="608">
        <v>6.3399999999999998E-2</v>
      </c>
      <c r="Q290" s="608">
        <v>0.32969999999999999</v>
      </c>
      <c r="S290" s="200">
        <f t="shared" si="8"/>
        <v>0</v>
      </c>
      <c r="T290" s="200">
        <f t="shared" si="9"/>
        <v>0</v>
      </c>
    </row>
    <row r="291" spans="1:20" ht="15">
      <c r="A291" s="415">
        <v>285</v>
      </c>
      <c r="B291" s="415">
        <v>303</v>
      </c>
      <c r="C291" s="66" t="s">
        <v>2403</v>
      </c>
      <c r="D291" s="66" t="s">
        <v>658</v>
      </c>
      <c r="E291" s="413" t="s">
        <v>2256</v>
      </c>
      <c r="F291" s="594">
        <v>0.1633</v>
      </c>
      <c r="G291" s="594">
        <v>0.37480000000000002</v>
      </c>
      <c r="H291" s="594">
        <v>0.30930000000000002</v>
      </c>
      <c r="J291" s="195"/>
      <c r="K291" s="232"/>
      <c r="M291" t="s">
        <v>659</v>
      </c>
      <c r="N291" t="s">
        <v>658</v>
      </c>
      <c r="O291" t="s">
        <v>1254</v>
      </c>
      <c r="P291" s="608">
        <v>0.1633</v>
      </c>
      <c r="Q291" s="608">
        <v>0.37480000000000002</v>
      </c>
      <c r="S291" s="200">
        <f t="shared" si="8"/>
        <v>0</v>
      </c>
      <c r="T291" s="200">
        <f t="shared" si="9"/>
        <v>0</v>
      </c>
    </row>
    <row r="292" spans="1:20" ht="15">
      <c r="A292" s="415">
        <v>286</v>
      </c>
      <c r="B292" s="415">
        <v>281</v>
      </c>
      <c r="C292" s="66" t="s">
        <v>2403</v>
      </c>
      <c r="D292" s="66" t="s">
        <v>660</v>
      </c>
      <c r="E292" s="413" t="s">
        <v>2257</v>
      </c>
      <c r="F292" s="594">
        <v>6.3600000000000004E-2</v>
      </c>
      <c r="G292" s="594">
        <v>0.20530000000000001</v>
      </c>
      <c r="H292" s="594">
        <v>0.22470000000000001</v>
      </c>
      <c r="J292" s="195"/>
      <c r="K292" s="232"/>
      <c r="M292" t="s">
        <v>661</v>
      </c>
      <c r="N292" t="s">
        <v>660</v>
      </c>
      <c r="O292" t="s">
        <v>2486</v>
      </c>
      <c r="P292" s="608">
        <v>6.3600000000000004E-2</v>
      </c>
      <c r="Q292" s="608">
        <v>0.20530000000000001</v>
      </c>
      <c r="S292" s="200">
        <f t="shared" si="8"/>
        <v>0</v>
      </c>
      <c r="T292" s="200">
        <f t="shared" si="9"/>
        <v>0</v>
      </c>
    </row>
    <row r="293" spans="1:20" ht="15">
      <c r="A293" s="415">
        <v>287</v>
      </c>
      <c r="B293" s="415">
        <v>136</v>
      </c>
      <c r="C293" s="66" t="s">
        <v>2403</v>
      </c>
      <c r="D293" s="66" t="s">
        <v>662</v>
      </c>
      <c r="E293" s="413" t="s">
        <v>2258</v>
      </c>
      <c r="F293" s="594">
        <v>5.6099999999999997E-2</v>
      </c>
      <c r="G293" s="594">
        <v>0.19270000000000001</v>
      </c>
      <c r="H293" s="594">
        <v>0.23449999999999999</v>
      </c>
      <c r="J293" s="195"/>
      <c r="K293" s="232"/>
      <c r="M293" t="s">
        <v>663</v>
      </c>
      <c r="N293" t="s">
        <v>662</v>
      </c>
      <c r="O293" t="s">
        <v>1236</v>
      </c>
      <c r="P293" s="608">
        <v>5.6099999999999997E-2</v>
      </c>
      <c r="Q293" s="608">
        <v>0.19270000000000001</v>
      </c>
      <c r="S293" s="200">
        <f t="shared" si="8"/>
        <v>0</v>
      </c>
      <c r="T293" s="200">
        <f t="shared" si="9"/>
        <v>0</v>
      </c>
    </row>
    <row r="294" spans="1:20" ht="15">
      <c r="A294" s="415">
        <v>288</v>
      </c>
      <c r="B294" s="415">
        <v>157</v>
      </c>
      <c r="C294" s="66" t="s">
        <v>2403</v>
      </c>
      <c r="D294" s="66" t="s">
        <v>664</v>
      </c>
      <c r="E294" s="413" t="s">
        <v>2259</v>
      </c>
      <c r="F294" s="594">
        <v>5.7500000000000002E-2</v>
      </c>
      <c r="G294" s="594">
        <v>0.34660000000000002</v>
      </c>
      <c r="H294" s="594">
        <v>0.32150000000000001</v>
      </c>
      <c r="J294" s="195"/>
      <c r="K294" s="232"/>
      <c r="M294" t="s">
        <v>665</v>
      </c>
      <c r="N294" t="s">
        <v>664</v>
      </c>
      <c r="O294" t="s">
        <v>1440</v>
      </c>
      <c r="P294" s="608">
        <v>5.7500000000000002E-2</v>
      </c>
      <c r="Q294" s="608">
        <v>0.34660000000000002</v>
      </c>
      <c r="S294" s="200">
        <f t="shared" si="8"/>
        <v>0</v>
      </c>
      <c r="T294" s="200">
        <f t="shared" si="9"/>
        <v>0</v>
      </c>
    </row>
    <row r="295" spans="1:20" ht="15">
      <c r="A295" s="415">
        <v>289</v>
      </c>
      <c r="B295" s="415">
        <v>184</v>
      </c>
      <c r="C295" s="66" t="s">
        <v>2403</v>
      </c>
      <c r="D295" s="66" t="s">
        <v>666</v>
      </c>
      <c r="E295" s="413" t="s">
        <v>2260</v>
      </c>
      <c r="F295" s="594">
        <v>3.2899999999999999E-2</v>
      </c>
      <c r="G295" s="594">
        <v>0.19600000000000001</v>
      </c>
      <c r="H295" s="594">
        <v>0.1988</v>
      </c>
      <c r="J295" s="195"/>
      <c r="K295" s="232"/>
      <c r="M295" t="s">
        <v>1580</v>
      </c>
      <c r="N295" t="s">
        <v>666</v>
      </c>
      <c r="O295" t="s">
        <v>2443</v>
      </c>
      <c r="P295" s="608">
        <v>3.2899999999999999E-2</v>
      </c>
      <c r="Q295" s="608">
        <v>0.19600000000000001</v>
      </c>
      <c r="S295" s="200">
        <f t="shared" si="8"/>
        <v>0</v>
      </c>
      <c r="T295" s="200">
        <f t="shared" si="9"/>
        <v>0</v>
      </c>
    </row>
    <row r="296" spans="1:20" ht="15">
      <c r="A296" s="415">
        <v>290</v>
      </c>
      <c r="B296" s="415">
        <v>322</v>
      </c>
      <c r="C296" s="66" t="s">
        <v>2403</v>
      </c>
      <c r="D296" s="66" t="s">
        <v>667</v>
      </c>
      <c r="E296" s="413" t="s">
        <v>2261</v>
      </c>
      <c r="F296" s="594">
        <v>5.5599999999999997E-2</v>
      </c>
      <c r="G296" s="594">
        <v>0.3049</v>
      </c>
      <c r="H296" s="594">
        <v>0.34189999999999998</v>
      </c>
      <c r="J296" s="195"/>
      <c r="K296" s="232"/>
      <c r="M296" t="s">
        <v>668</v>
      </c>
      <c r="N296" t="s">
        <v>667</v>
      </c>
      <c r="O296" t="s">
        <v>1452</v>
      </c>
      <c r="P296" s="608">
        <v>5.5599999999999997E-2</v>
      </c>
      <c r="Q296" s="608">
        <v>0.3049</v>
      </c>
      <c r="S296" s="200">
        <f t="shared" si="8"/>
        <v>0</v>
      </c>
      <c r="T296" s="200">
        <f t="shared" si="9"/>
        <v>0</v>
      </c>
    </row>
    <row r="297" spans="1:20" ht="15">
      <c r="A297" s="415">
        <v>291</v>
      </c>
      <c r="B297" s="415">
        <v>288</v>
      </c>
      <c r="C297" s="66" t="s">
        <v>2403</v>
      </c>
      <c r="D297" s="66" t="s">
        <v>669</v>
      </c>
      <c r="E297" s="413" t="s">
        <v>2262</v>
      </c>
      <c r="F297" s="594">
        <v>1.7899999999999999E-2</v>
      </c>
      <c r="G297" s="594">
        <v>0.21429999999999999</v>
      </c>
      <c r="H297" s="594">
        <v>0.1787</v>
      </c>
      <c r="J297" s="195"/>
      <c r="K297" s="232"/>
      <c r="M297" t="s">
        <v>670</v>
      </c>
      <c r="N297" t="s">
        <v>669</v>
      </c>
      <c r="O297" t="s">
        <v>1377</v>
      </c>
      <c r="P297" s="608">
        <v>1.7899999999999999E-2</v>
      </c>
      <c r="Q297" s="608">
        <v>0.21429999999999999</v>
      </c>
      <c r="S297" s="200">
        <f t="shared" si="8"/>
        <v>0</v>
      </c>
      <c r="T297" s="200">
        <f t="shared" si="9"/>
        <v>0</v>
      </c>
    </row>
    <row r="298" spans="1:20" ht="15">
      <c r="A298" s="415">
        <v>292</v>
      </c>
      <c r="B298" s="415">
        <v>44</v>
      </c>
      <c r="C298" s="66" t="s">
        <v>2410</v>
      </c>
      <c r="D298" s="66" t="s">
        <v>671</v>
      </c>
      <c r="E298" s="413" t="s">
        <v>2263</v>
      </c>
      <c r="F298" s="594">
        <v>4.2000000000000003E-2</v>
      </c>
      <c r="G298" s="594">
        <v>0.16470000000000001</v>
      </c>
      <c r="H298" s="594">
        <v>0.17810000000000001</v>
      </c>
      <c r="J298" s="195"/>
      <c r="K298" s="232"/>
      <c r="M298" t="s">
        <v>672</v>
      </c>
      <c r="N298" t="s">
        <v>671</v>
      </c>
      <c r="O298" t="s">
        <v>1208</v>
      </c>
      <c r="P298" s="608">
        <v>4.2000000000000003E-2</v>
      </c>
      <c r="Q298" s="608">
        <v>0.16470000000000001</v>
      </c>
      <c r="S298" s="200">
        <f t="shared" si="8"/>
        <v>0</v>
      </c>
      <c r="T298" s="200">
        <f t="shared" si="9"/>
        <v>0</v>
      </c>
    </row>
    <row r="299" spans="1:20" ht="15">
      <c r="A299" s="415">
        <v>293</v>
      </c>
      <c r="B299" s="415">
        <v>143</v>
      </c>
      <c r="C299" s="66" t="s">
        <v>2410</v>
      </c>
      <c r="D299" s="66" t="s">
        <v>673</v>
      </c>
      <c r="E299" s="413" t="s">
        <v>2264</v>
      </c>
      <c r="F299" s="594">
        <v>5.8000000000000003E-2</v>
      </c>
      <c r="G299" s="594">
        <v>0.15920000000000001</v>
      </c>
      <c r="H299" s="594">
        <v>0.1802</v>
      </c>
      <c r="J299" s="195"/>
      <c r="K299" s="232"/>
      <c r="M299" t="s">
        <v>674</v>
      </c>
      <c r="N299" t="s">
        <v>673</v>
      </c>
      <c r="O299" t="s">
        <v>1268</v>
      </c>
      <c r="P299" s="608">
        <v>5.8000000000000003E-2</v>
      </c>
      <c r="Q299" s="608">
        <v>0.15920000000000001</v>
      </c>
      <c r="S299" s="200">
        <f t="shared" si="8"/>
        <v>0</v>
      </c>
      <c r="T299" s="200">
        <f t="shared" si="9"/>
        <v>0</v>
      </c>
    </row>
    <row r="300" spans="1:20" ht="15">
      <c r="A300" s="415">
        <v>294</v>
      </c>
      <c r="B300" s="415">
        <v>106</v>
      </c>
      <c r="C300" s="66" t="s">
        <v>2410</v>
      </c>
      <c r="D300" s="66" t="s">
        <v>675</v>
      </c>
      <c r="E300" s="413" t="s">
        <v>2265</v>
      </c>
      <c r="F300" s="594">
        <v>3.8199999999999998E-2</v>
      </c>
      <c r="G300" s="594">
        <v>0.18990000000000001</v>
      </c>
      <c r="H300" s="594">
        <v>0.2296</v>
      </c>
      <c r="J300" s="195"/>
      <c r="K300" s="232"/>
      <c r="M300" t="s">
        <v>676</v>
      </c>
      <c r="N300" t="s">
        <v>675</v>
      </c>
      <c r="O300" t="s">
        <v>1212</v>
      </c>
      <c r="P300" s="608">
        <v>3.8199999999999998E-2</v>
      </c>
      <c r="Q300" s="608">
        <v>0.18990000000000001</v>
      </c>
      <c r="S300" s="200">
        <f t="shared" si="8"/>
        <v>0</v>
      </c>
      <c r="T300" s="200">
        <f t="shared" si="9"/>
        <v>0</v>
      </c>
    </row>
    <row r="301" spans="1:20" ht="15">
      <c r="A301" s="415">
        <v>295</v>
      </c>
      <c r="B301" s="415">
        <v>276</v>
      </c>
      <c r="C301" s="66" t="s">
        <v>2410</v>
      </c>
      <c r="D301" s="66" t="s">
        <v>677</v>
      </c>
      <c r="E301" s="413" t="s">
        <v>2266</v>
      </c>
      <c r="F301" s="594">
        <v>5.4899999999999997E-2</v>
      </c>
      <c r="G301" s="594">
        <v>0.15759999999999999</v>
      </c>
      <c r="H301" s="594">
        <v>0.15440000000000001</v>
      </c>
      <c r="J301" s="195"/>
      <c r="K301" s="232"/>
      <c r="M301" t="s">
        <v>678</v>
      </c>
      <c r="N301" t="s">
        <v>677</v>
      </c>
      <c r="O301" t="s">
        <v>1314</v>
      </c>
      <c r="P301" s="608">
        <v>5.4899999999999997E-2</v>
      </c>
      <c r="Q301" s="608">
        <v>0.15759999999999999</v>
      </c>
      <c r="S301" s="200">
        <f t="shared" si="8"/>
        <v>0</v>
      </c>
      <c r="T301" s="200">
        <f t="shared" si="9"/>
        <v>0</v>
      </c>
    </row>
    <row r="302" spans="1:20" ht="15">
      <c r="A302" s="415">
        <v>296</v>
      </c>
      <c r="B302" s="415">
        <v>314</v>
      </c>
      <c r="C302" s="66" t="s">
        <v>2410</v>
      </c>
      <c r="D302" s="66" t="s">
        <v>679</v>
      </c>
      <c r="E302" s="413" t="s">
        <v>2267</v>
      </c>
      <c r="F302" s="594">
        <v>5.8000000000000003E-2</v>
      </c>
      <c r="G302" s="594">
        <v>0.2447</v>
      </c>
      <c r="H302" s="594">
        <v>0.21929999999999999</v>
      </c>
      <c r="J302" s="195"/>
      <c r="K302" s="232"/>
      <c r="M302" t="s">
        <v>680</v>
      </c>
      <c r="N302" t="s">
        <v>679</v>
      </c>
      <c r="O302" t="s">
        <v>1324</v>
      </c>
      <c r="P302" s="597">
        <v>5.79E-2</v>
      </c>
      <c r="Q302" s="608">
        <v>0.2447</v>
      </c>
      <c r="S302" s="200">
        <f t="shared" si="8"/>
        <v>1.0000000000000286E-4</v>
      </c>
      <c r="T302" s="200">
        <f t="shared" si="9"/>
        <v>0</v>
      </c>
    </row>
    <row r="303" spans="1:20" ht="15">
      <c r="A303" s="415">
        <v>297</v>
      </c>
      <c r="B303" s="415">
        <v>200</v>
      </c>
      <c r="C303" s="66" t="s">
        <v>2410</v>
      </c>
      <c r="D303" s="66" t="s">
        <v>681</v>
      </c>
      <c r="E303" s="413" t="s">
        <v>2268</v>
      </c>
      <c r="F303" s="594">
        <v>3.0200000000000001E-2</v>
      </c>
      <c r="G303" s="594">
        <v>0.14430000000000001</v>
      </c>
      <c r="H303" s="594">
        <v>0.1396</v>
      </c>
      <c r="J303" s="195"/>
      <c r="K303" s="232"/>
      <c r="M303" t="s">
        <v>682</v>
      </c>
      <c r="N303" t="s">
        <v>681</v>
      </c>
      <c r="O303" t="s">
        <v>1341</v>
      </c>
      <c r="P303" s="608">
        <v>3.0200000000000001E-2</v>
      </c>
      <c r="Q303" s="608">
        <v>0.14430000000000001</v>
      </c>
      <c r="S303" s="200">
        <f t="shared" si="8"/>
        <v>0</v>
      </c>
      <c r="T303" s="200">
        <f t="shared" si="9"/>
        <v>0</v>
      </c>
    </row>
    <row r="304" spans="1:20" ht="15">
      <c r="A304" s="415">
        <v>298</v>
      </c>
      <c r="B304" s="415">
        <v>265</v>
      </c>
      <c r="C304" s="66" t="s">
        <v>2410</v>
      </c>
      <c r="D304" s="66" t="s">
        <v>683</v>
      </c>
      <c r="E304" s="413" t="s">
        <v>2269</v>
      </c>
      <c r="F304" s="594">
        <v>3.5400000000000001E-2</v>
      </c>
      <c r="G304" s="594">
        <v>0.16339999999999999</v>
      </c>
      <c r="H304" s="594">
        <v>0.18410000000000001</v>
      </c>
      <c r="J304" s="195"/>
      <c r="K304" s="232"/>
      <c r="M304" t="s">
        <v>684</v>
      </c>
      <c r="N304" t="s">
        <v>683</v>
      </c>
      <c r="O304" t="s">
        <v>1333</v>
      </c>
      <c r="P304" s="608">
        <v>3.5400000000000001E-2</v>
      </c>
      <c r="Q304" s="608">
        <v>0.16339999999999999</v>
      </c>
      <c r="S304" s="200">
        <f t="shared" si="8"/>
        <v>0</v>
      </c>
      <c r="T304" s="200">
        <f t="shared" si="9"/>
        <v>0</v>
      </c>
    </row>
    <row r="305" spans="1:20" ht="15">
      <c r="A305" s="415">
        <v>299</v>
      </c>
      <c r="B305" s="415">
        <v>29</v>
      </c>
      <c r="C305" s="66" t="s">
        <v>2405</v>
      </c>
      <c r="D305" s="66" t="s">
        <v>1639</v>
      </c>
      <c r="E305" s="413" t="s">
        <v>2431</v>
      </c>
      <c r="F305" s="595">
        <v>3.8699999999999998E-2</v>
      </c>
      <c r="G305" s="595">
        <v>0.1535</v>
      </c>
      <c r="H305" s="595">
        <v>0.1535</v>
      </c>
      <c r="J305" s="195"/>
      <c r="K305" s="232"/>
      <c r="M305" t="s">
        <v>1642</v>
      </c>
      <c r="N305" t="s">
        <v>1639</v>
      </c>
      <c r="O305" t="s">
        <v>1657</v>
      </c>
      <c r="P305" s="608">
        <v>3.8699999999999998E-2</v>
      </c>
      <c r="Q305" s="608">
        <v>0.1535</v>
      </c>
      <c r="S305" s="200">
        <f t="shared" si="8"/>
        <v>0</v>
      </c>
      <c r="T305" s="200">
        <f t="shared" si="9"/>
        <v>0</v>
      </c>
    </row>
    <row r="306" spans="1:20" ht="15">
      <c r="A306" s="415">
        <v>300</v>
      </c>
      <c r="B306" s="415">
        <v>102</v>
      </c>
      <c r="C306" s="66" t="s">
        <v>2405</v>
      </c>
      <c r="D306" s="66" t="s">
        <v>1178</v>
      </c>
      <c r="E306" s="413" t="s">
        <v>1497</v>
      </c>
      <c r="F306" s="595">
        <v>3.8699999999999998E-2</v>
      </c>
      <c r="G306" s="595">
        <v>0.1535</v>
      </c>
      <c r="H306" s="595">
        <v>0.1535</v>
      </c>
      <c r="J306" s="195"/>
      <c r="K306" s="232"/>
      <c r="M306" t="s">
        <v>1635</v>
      </c>
      <c r="N306" t="s">
        <v>1178</v>
      </c>
      <c r="O306" t="s">
        <v>2460</v>
      </c>
      <c r="P306" s="608">
        <v>3.8699999999999998E-2</v>
      </c>
      <c r="Q306" s="608">
        <v>0.1535</v>
      </c>
      <c r="S306" s="200">
        <f t="shared" si="8"/>
        <v>0</v>
      </c>
      <c r="T306" s="200">
        <f t="shared" si="9"/>
        <v>0</v>
      </c>
    </row>
    <row r="307" spans="1:20" ht="15">
      <c r="A307" s="415">
        <v>301</v>
      </c>
      <c r="B307" s="415">
        <v>283</v>
      </c>
      <c r="C307" s="66" t="s">
        <v>2402</v>
      </c>
      <c r="D307" s="66" t="s">
        <v>685</v>
      </c>
      <c r="E307" s="413" t="s">
        <v>2324</v>
      </c>
      <c r="F307" s="594">
        <v>3.6299999999999999E-2</v>
      </c>
      <c r="G307" s="594">
        <v>0.2888</v>
      </c>
      <c r="H307" s="594">
        <v>0.29849999999999999</v>
      </c>
      <c r="J307" s="195"/>
      <c r="K307" s="232"/>
      <c r="M307" t="s">
        <v>686</v>
      </c>
      <c r="N307" t="s">
        <v>685</v>
      </c>
      <c r="O307" t="s">
        <v>2458</v>
      </c>
      <c r="P307" s="608">
        <v>3.6299999999999999E-2</v>
      </c>
      <c r="Q307" s="608">
        <v>0.2888</v>
      </c>
      <c r="S307" s="200">
        <f t="shared" si="8"/>
        <v>0</v>
      </c>
      <c r="T307" s="200">
        <f t="shared" si="9"/>
        <v>0</v>
      </c>
    </row>
    <row r="308" spans="1:20" ht="15">
      <c r="A308" s="415">
        <v>302</v>
      </c>
      <c r="B308" s="415">
        <v>284</v>
      </c>
      <c r="C308" s="66" t="s">
        <v>2402</v>
      </c>
      <c r="D308" s="66" t="s">
        <v>687</v>
      </c>
      <c r="E308" s="413" t="s">
        <v>2270</v>
      </c>
      <c r="F308" s="594">
        <v>0.20250000000000001</v>
      </c>
      <c r="G308" s="594">
        <v>0.42020000000000002</v>
      </c>
      <c r="H308" s="594">
        <v>0.56610000000000005</v>
      </c>
      <c r="J308" s="195"/>
      <c r="K308" s="232"/>
      <c r="M308" t="s">
        <v>688</v>
      </c>
      <c r="N308" t="s">
        <v>687</v>
      </c>
      <c r="O308" t="s">
        <v>1307</v>
      </c>
      <c r="P308" s="608">
        <v>0.20250000000000001</v>
      </c>
      <c r="Q308" s="608">
        <v>0.42020000000000002</v>
      </c>
      <c r="S308" s="200">
        <f t="shared" si="8"/>
        <v>0</v>
      </c>
      <c r="T308" s="200">
        <f t="shared" si="9"/>
        <v>0</v>
      </c>
    </row>
    <row r="309" spans="1:20" ht="15">
      <c r="A309" s="415">
        <v>303</v>
      </c>
      <c r="B309" s="415">
        <v>66</v>
      </c>
      <c r="C309" s="66" t="s">
        <v>2402</v>
      </c>
      <c r="D309" s="66" t="s">
        <v>689</v>
      </c>
      <c r="E309" s="413" t="s">
        <v>2271</v>
      </c>
      <c r="F309" s="594">
        <v>4.9200000000000001E-2</v>
      </c>
      <c r="G309" s="594">
        <v>0.23880000000000001</v>
      </c>
      <c r="H309" s="594">
        <v>0.28770000000000001</v>
      </c>
      <c r="J309" s="195"/>
      <c r="K309" s="232"/>
      <c r="M309" t="s">
        <v>690</v>
      </c>
      <c r="N309" t="s">
        <v>689</v>
      </c>
      <c r="O309" t="s">
        <v>1434</v>
      </c>
      <c r="P309" s="608">
        <v>4.9200000000000001E-2</v>
      </c>
      <c r="Q309" s="608">
        <v>0.23880000000000001</v>
      </c>
      <c r="S309" s="200">
        <f t="shared" si="8"/>
        <v>0</v>
      </c>
      <c r="T309" s="200">
        <f t="shared" si="9"/>
        <v>0</v>
      </c>
    </row>
    <row r="310" spans="1:20" ht="15">
      <c r="A310" s="415">
        <v>304</v>
      </c>
      <c r="B310" s="415">
        <v>290</v>
      </c>
      <c r="C310" s="66" t="s">
        <v>2402</v>
      </c>
      <c r="D310" s="66" t="s">
        <v>691</v>
      </c>
      <c r="E310" s="413" t="s">
        <v>2272</v>
      </c>
      <c r="F310" s="594">
        <v>4.3999999999999997E-2</v>
      </c>
      <c r="G310" s="594">
        <v>0.2198</v>
      </c>
      <c r="H310" s="594">
        <v>0.2301</v>
      </c>
      <c r="J310" s="195"/>
      <c r="K310" s="232"/>
      <c r="M310" t="s">
        <v>692</v>
      </c>
      <c r="N310" t="s">
        <v>691</v>
      </c>
      <c r="O310" t="s">
        <v>1380</v>
      </c>
      <c r="P310" s="608">
        <v>4.3999999999999997E-2</v>
      </c>
      <c r="Q310" s="608">
        <v>0.2198</v>
      </c>
      <c r="S310" s="200">
        <f t="shared" si="8"/>
        <v>0</v>
      </c>
      <c r="T310" s="200">
        <f t="shared" si="9"/>
        <v>0</v>
      </c>
    </row>
    <row r="311" spans="1:20" ht="15">
      <c r="A311" s="415">
        <v>305</v>
      </c>
      <c r="B311" s="415">
        <v>286</v>
      </c>
      <c r="C311" s="66" t="s">
        <v>2402</v>
      </c>
      <c r="D311" s="66" t="s">
        <v>693</v>
      </c>
      <c r="E311" s="413" t="s">
        <v>2273</v>
      </c>
      <c r="F311" s="594">
        <v>2.1399999999999999E-2</v>
      </c>
      <c r="G311" s="594">
        <v>0.20660000000000001</v>
      </c>
      <c r="H311" s="594">
        <v>0.18459999999999999</v>
      </c>
      <c r="J311" s="195"/>
      <c r="K311" s="232"/>
      <c r="M311" t="s">
        <v>694</v>
      </c>
      <c r="N311" t="s">
        <v>693</v>
      </c>
      <c r="O311" t="s">
        <v>1235</v>
      </c>
      <c r="P311" s="608">
        <v>2.1399999999999999E-2</v>
      </c>
      <c r="Q311" s="608">
        <v>0.20660000000000001</v>
      </c>
      <c r="S311" s="200">
        <f t="shared" si="8"/>
        <v>0</v>
      </c>
      <c r="T311" s="200">
        <f t="shared" si="9"/>
        <v>0</v>
      </c>
    </row>
    <row r="312" spans="1:20" ht="15">
      <c r="A312" s="415">
        <v>306</v>
      </c>
      <c r="B312" s="415">
        <v>326</v>
      </c>
      <c r="C312" s="66" t="s">
        <v>2402</v>
      </c>
      <c r="D312" s="66" t="s">
        <v>695</v>
      </c>
      <c r="E312" s="413" t="s">
        <v>2274</v>
      </c>
      <c r="F312" s="594">
        <v>4.7899999999999998E-2</v>
      </c>
      <c r="G312" s="594">
        <v>0.26619999999999999</v>
      </c>
      <c r="H312" s="594">
        <v>0.31659999999999999</v>
      </c>
      <c r="J312" s="195"/>
      <c r="K312" s="232"/>
      <c r="M312" t="s">
        <v>696</v>
      </c>
      <c r="N312" t="s">
        <v>695</v>
      </c>
      <c r="O312" t="s">
        <v>1367</v>
      </c>
      <c r="P312" s="608">
        <v>4.7899999999999998E-2</v>
      </c>
      <c r="Q312" s="608">
        <v>0.26619999999999999</v>
      </c>
      <c r="S312" s="200">
        <f t="shared" si="8"/>
        <v>0</v>
      </c>
      <c r="T312" s="200">
        <f t="shared" si="9"/>
        <v>0</v>
      </c>
    </row>
    <row r="313" spans="1:20" ht="15">
      <c r="A313" s="415">
        <v>307</v>
      </c>
      <c r="B313" s="415">
        <v>68</v>
      </c>
      <c r="C313" s="66" t="s">
        <v>2402</v>
      </c>
      <c r="D313" s="66" t="s">
        <v>697</v>
      </c>
      <c r="E313" s="413" t="s">
        <v>2275</v>
      </c>
      <c r="F313" s="594">
        <v>5.1299999999999998E-2</v>
      </c>
      <c r="G313" s="594">
        <v>0.25180000000000002</v>
      </c>
      <c r="H313" s="594">
        <v>0.23150000000000001</v>
      </c>
      <c r="J313" s="195"/>
      <c r="K313" s="232"/>
      <c r="M313" t="s">
        <v>698</v>
      </c>
      <c r="N313" t="s">
        <v>697</v>
      </c>
      <c r="O313" t="s">
        <v>1273</v>
      </c>
      <c r="P313" s="608">
        <v>5.1299999999999998E-2</v>
      </c>
      <c r="Q313" s="608">
        <v>0.25180000000000002</v>
      </c>
      <c r="S313" s="200">
        <f t="shared" si="8"/>
        <v>0</v>
      </c>
      <c r="T313" s="200">
        <f t="shared" si="9"/>
        <v>0</v>
      </c>
    </row>
    <row r="314" spans="1:20" ht="15">
      <c r="A314" s="415">
        <v>308</v>
      </c>
      <c r="B314" s="415">
        <v>33</v>
      </c>
      <c r="C314" s="66" t="s">
        <v>2402</v>
      </c>
      <c r="D314" s="66" t="s">
        <v>699</v>
      </c>
      <c r="E314" s="413" t="s">
        <v>2325</v>
      </c>
      <c r="F314" s="594">
        <v>9.9599999999999994E-2</v>
      </c>
      <c r="G314" s="594">
        <v>0.3478</v>
      </c>
      <c r="H314" s="594">
        <v>0.39929999999999999</v>
      </c>
      <c r="J314" s="195"/>
      <c r="K314" s="232"/>
      <c r="M314" t="s">
        <v>700</v>
      </c>
      <c r="N314" t="s">
        <v>699</v>
      </c>
      <c r="O314" t="s">
        <v>1423</v>
      </c>
      <c r="P314" s="608">
        <v>9.9599999999999994E-2</v>
      </c>
      <c r="Q314" s="608">
        <v>0.3478</v>
      </c>
      <c r="S314" s="200">
        <f t="shared" si="8"/>
        <v>0</v>
      </c>
      <c r="T314" s="200">
        <f t="shared" si="9"/>
        <v>0</v>
      </c>
    </row>
    <row r="315" spans="1:20" ht="15">
      <c r="A315" s="415">
        <v>309</v>
      </c>
      <c r="B315" s="415">
        <v>1</v>
      </c>
      <c r="C315" s="66" t="s">
        <v>2402</v>
      </c>
      <c r="D315" s="66" t="s">
        <v>701</v>
      </c>
      <c r="E315" s="413" t="s">
        <v>2276</v>
      </c>
      <c r="F315" s="594">
        <v>4.6399999999999997E-2</v>
      </c>
      <c r="G315" s="594">
        <v>0.25929999999999997</v>
      </c>
      <c r="H315" s="594">
        <v>0.32390000000000002</v>
      </c>
      <c r="J315" s="195"/>
      <c r="K315" s="232"/>
      <c r="M315" t="s">
        <v>702</v>
      </c>
      <c r="N315" t="s">
        <v>701</v>
      </c>
      <c r="O315" t="s">
        <v>1237</v>
      </c>
      <c r="P315" s="608">
        <v>4.6399999999999997E-2</v>
      </c>
      <c r="Q315" s="608">
        <v>0.25929999999999997</v>
      </c>
      <c r="S315" s="200">
        <f t="shared" si="8"/>
        <v>0</v>
      </c>
      <c r="T315" s="200">
        <f t="shared" si="9"/>
        <v>0</v>
      </c>
    </row>
    <row r="316" spans="1:20" ht="15">
      <c r="A316" s="415">
        <v>310</v>
      </c>
      <c r="B316" s="415">
        <v>54</v>
      </c>
      <c r="C316" s="66" t="s">
        <v>2402</v>
      </c>
      <c r="D316" s="66" t="s">
        <v>703</v>
      </c>
      <c r="E316" s="413" t="s">
        <v>2277</v>
      </c>
      <c r="F316" s="594">
        <v>8.8900000000000007E-2</v>
      </c>
      <c r="G316" s="594">
        <v>0.34229999999999999</v>
      </c>
      <c r="H316" s="594">
        <v>0.42820000000000003</v>
      </c>
      <c r="J316" s="195"/>
      <c r="K316" s="232"/>
      <c r="M316" t="s">
        <v>704</v>
      </c>
      <c r="N316" t="s">
        <v>703</v>
      </c>
      <c r="O316" t="s">
        <v>1261</v>
      </c>
      <c r="P316" s="608">
        <v>8.8900000000000007E-2</v>
      </c>
      <c r="Q316" s="608">
        <v>0.34229999999999999</v>
      </c>
      <c r="S316" s="200">
        <f t="shared" si="8"/>
        <v>0</v>
      </c>
      <c r="T316" s="200">
        <f t="shared" si="9"/>
        <v>0</v>
      </c>
    </row>
    <row r="317" spans="1:20" ht="15">
      <c r="A317" s="415">
        <v>311</v>
      </c>
      <c r="B317" s="415">
        <v>264</v>
      </c>
      <c r="C317" s="66" t="s">
        <v>2402</v>
      </c>
      <c r="D317" s="66" t="s">
        <v>705</v>
      </c>
      <c r="E317" s="413" t="s">
        <v>2278</v>
      </c>
      <c r="F317" s="594">
        <v>5.2299999999999999E-2</v>
      </c>
      <c r="G317" s="594">
        <v>0.26300000000000001</v>
      </c>
      <c r="H317" s="594">
        <v>0.30049999999999999</v>
      </c>
      <c r="J317" s="195"/>
      <c r="K317" s="232"/>
      <c r="M317" t="s">
        <v>706</v>
      </c>
      <c r="N317" t="s">
        <v>705</v>
      </c>
      <c r="O317" t="s">
        <v>1399</v>
      </c>
      <c r="P317" s="608">
        <v>5.2299999999999999E-2</v>
      </c>
      <c r="Q317" s="608">
        <v>0.26300000000000001</v>
      </c>
      <c r="S317" s="200">
        <f t="shared" si="8"/>
        <v>0</v>
      </c>
      <c r="T317" s="200">
        <f t="shared" si="9"/>
        <v>0</v>
      </c>
    </row>
    <row r="318" spans="1:20" ht="15">
      <c r="A318" s="415">
        <v>312</v>
      </c>
      <c r="B318" s="415">
        <v>20</v>
      </c>
      <c r="C318" s="66" t="s">
        <v>2402</v>
      </c>
      <c r="D318" s="66" t="s">
        <v>707</v>
      </c>
      <c r="E318" s="413" t="s">
        <v>2279</v>
      </c>
      <c r="F318" s="594">
        <v>0.12280000000000001</v>
      </c>
      <c r="G318" s="594">
        <v>0.31369999999999998</v>
      </c>
      <c r="H318" s="594">
        <v>0.3715</v>
      </c>
      <c r="J318" s="195"/>
      <c r="K318" s="232"/>
      <c r="M318" t="s">
        <v>708</v>
      </c>
      <c r="N318" t="s">
        <v>707</v>
      </c>
      <c r="O318" t="s">
        <v>2478</v>
      </c>
      <c r="P318" s="608">
        <v>0.12280000000000001</v>
      </c>
      <c r="Q318" s="608">
        <v>0.31369999999999998</v>
      </c>
      <c r="S318" s="200">
        <f t="shared" si="8"/>
        <v>0</v>
      </c>
      <c r="T318" s="200">
        <f t="shared" si="9"/>
        <v>0</v>
      </c>
    </row>
    <row r="319" spans="1:20" ht="15">
      <c r="A319" s="415">
        <v>313</v>
      </c>
      <c r="B319" s="415">
        <v>255</v>
      </c>
      <c r="C319" s="66" t="s">
        <v>2402</v>
      </c>
      <c r="D319" s="66" t="s">
        <v>709</v>
      </c>
      <c r="E319" s="413" t="s">
        <v>2326</v>
      </c>
      <c r="F319" s="594">
        <v>6.3100000000000003E-2</v>
      </c>
      <c r="G319" s="594">
        <v>0.30790000000000001</v>
      </c>
      <c r="H319" s="594">
        <v>0.34029999999999999</v>
      </c>
      <c r="J319" s="195"/>
      <c r="K319" s="232"/>
      <c r="M319" t="s">
        <v>710</v>
      </c>
      <c r="N319" t="s">
        <v>709</v>
      </c>
      <c r="O319" t="s">
        <v>1350</v>
      </c>
      <c r="P319" s="608">
        <v>6.3100000000000003E-2</v>
      </c>
      <c r="Q319" s="608">
        <v>0.30790000000000001</v>
      </c>
      <c r="S319" s="200">
        <f t="shared" si="8"/>
        <v>0</v>
      </c>
      <c r="T319" s="200">
        <f t="shared" si="9"/>
        <v>0</v>
      </c>
    </row>
    <row r="320" spans="1:20" ht="15">
      <c r="A320" s="415">
        <v>314</v>
      </c>
      <c r="B320" s="415">
        <v>327</v>
      </c>
      <c r="C320" s="66" t="s">
        <v>2408</v>
      </c>
      <c r="D320" s="66" t="s">
        <v>711</v>
      </c>
      <c r="E320" s="413" t="s">
        <v>2280</v>
      </c>
      <c r="F320" s="594">
        <v>4.5999999999999999E-2</v>
      </c>
      <c r="G320" s="594">
        <v>0.23749999999999999</v>
      </c>
      <c r="H320" s="594">
        <v>0.29770000000000002</v>
      </c>
      <c r="J320" s="195"/>
      <c r="K320" s="232"/>
      <c r="M320" t="s">
        <v>712</v>
      </c>
      <c r="N320" t="s">
        <v>711</v>
      </c>
      <c r="O320" t="s">
        <v>1445</v>
      </c>
      <c r="P320" s="608">
        <v>4.5999999999999999E-2</v>
      </c>
      <c r="Q320" s="608">
        <v>0.23749999999999999</v>
      </c>
      <c r="S320" s="200">
        <f t="shared" si="8"/>
        <v>0</v>
      </c>
      <c r="T320" s="200">
        <f t="shared" si="9"/>
        <v>0</v>
      </c>
    </row>
    <row r="321" spans="1:20" ht="15">
      <c r="A321" s="415">
        <v>315</v>
      </c>
      <c r="B321" s="415">
        <v>299</v>
      </c>
      <c r="C321" s="66" t="s">
        <v>2408</v>
      </c>
      <c r="D321" s="66" t="s">
        <v>713</v>
      </c>
      <c r="E321" s="413" t="s">
        <v>2281</v>
      </c>
      <c r="F321" s="594">
        <v>4.5100000000000001E-2</v>
      </c>
      <c r="G321" s="594">
        <v>0.23860000000000001</v>
      </c>
      <c r="H321" s="594">
        <v>0.21290000000000001</v>
      </c>
      <c r="J321" s="195"/>
      <c r="K321" s="232"/>
      <c r="M321" t="s">
        <v>714</v>
      </c>
      <c r="N321" t="s">
        <v>713</v>
      </c>
      <c r="O321" t="s">
        <v>1336</v>
      </c>
      <c r="P321" s="608">
        <v>4.5100000000000001E-2</v>
      </c>
      <c r="Q321" s="608">
        <v>0.23860000000000001</v>
      </c>
      <c r="S321" s="200">
        <f t="shared" si="8"/>
        <v>0</v>
      </c>
      <c r="T321" s="200">
        <f t="shared" si="9"/>
        <v>0</v>
      </c>
    </row>
    <row r="322" spans="1:20" ht="15">
      <c r="A322" s="415">
        <v>316</v>
      </c>
      <c r="B322" s="415">
        <v>161</v>
      </c>
      <c r="C322" s="66" t="s">
        <v>2408</v>
      </c>
      <c r="D322" s="66" t="s">
        <v>715</v>
      </c>
      <c r="E322" s="413" t="s">
        <v>2282</v>
      </c>
      <c r="F322" s="594">
        <v>5.8999999999999997E-2</v>
      </c>
      <c r="G322" s="594">
        <v>0.14510000000000001</v>
      </c>
      <c r="H322" s="594">
        <v>0.16600000000000001</v>
      </c>
      <c r="J322" s="195"/>
      <c r="K322" s="232"/>
      <c r="M322" t="s">
        <v>716</v>
      </c>
      <c r="N322" t="s">
        <v>715</v>
      </c>
      <c r="O322" t="s">
        <v>1469</v>
      </c>
      <c r="P322" s="608">
        <v>5.8999999999999997E-2</v>
      </c>
      <c r="Q322" s="608">
        <v>0.14510000000000001</v>
      </c>
      <c r="S322" s="200">
        <f t="shared" si="8"/>
        <v>0</v>
      </c>
      <c r="T322" s="200">
        <f t="shared" si="9"/>
        <v>0</v>
      </c>
    </row>
    <row r="323" spans="1:20" ht="15">
      <c r="A323" s="415">
        <v>317</v>
      </c>
      <c r="B323" s="415">
        <v>209</v>
      </c>
      <c r="C323" s="66" t="s">
        <v>2408</v>
      </c>
      <c r="D323" s="66" t="s">
        <v>717</v>
      </c>
      <c r="E323" s="413" t="s">
        <v>2283</v>
      </c>
      <c r="F323" s="594">
        <v>4.5699999999999998E-2</v>
      </c>
      <c r="G323" s="594">
        <v>0.15529999999999999</v>
      </c>
      <c r="H323" s="594">
        <v>0.1628</v>
      </c>
      <c r="J323" s="195"/>
      <c r="K323" s="232"/>
      <c r="M323" t="s">
        <v>807</v>
      </c>
      <c r="N323" t="s">
        <v>717</v>
      </c>
      <c r="O323" t="s">
        <v>2446</v>
      </c>
      <c r="P323" s="608">
        <v>4.5699999999999998E-2</v>
      </c>
      <c r="Q323" s="608">
        <v>0.15529999999999999</v>
      </c>
      <c r="S323" s="200">
        <f t="shared" si="8"/>
        <v>0</v>
      </c>
      <c r="T323" s="200">
        <f t="shared" si="9"/>
        <v>0</v>
      </c>
    </row>
    <row r="324" spans="1:20" ht="15">
      <c r="A324" s="415">
        <v>318</v>
      </c>
      <c r="B324" s="415">
        <v>148</v>
      </c>
      <c r="C324" s="66" t="s">
        <v>2408</v>
      </c>
      <c r="D324" s="66" t="s">
        <v>718</v>
      </c>
      <c r="E324" s="413" t="s">
        <v>2284</v>
      </c>
      <c r="F324" s="594">
        <v>5.2600000000000001E-2</v>
      </c>
      <c r="G324" s="594">
        <v>0.15290000000000001</v>
      </c>
      <c r="H324" s="594">
        <v>0.16159999999999999</v>
      </c>
      <c r="J324" s="195"/>
      <c r="K324" s="232"/>
      <c r="M324" t="s">
        <v>719</v>
      </c>
      <c r="N324" t="s">
        <v>718</v>
      </c>
      <c r="O324" t="s">
        <v>1402</v>
      </c>
      <c r="P324" s="608">
        <v>5.2600000000000001E-2</v>
      </c>
      <c r="Q324" s="608">
        <v>0.15290000000000001</v>
      </c>
      <c r="S324" s="200">
        <f t="shared" si="8"/>
        <v>0</v>
      </c>
      <c r="T324" s="200">
        <f t="shared" si="9"/>
        <v>0</v>
      </c>
    </row>
    <row r="325" spans="1:20" ht="15">
      <c r="A325" s="415">
        <v>319</v>
      </c>
      <c r="B325" s="415">
        <v>124</v>
      </c>
      <c r="C325" s="66" t="s">
        <v>2408</v>
      </c>
      <c r="D325" s="66" t="s">
        <v>720</v>
      </c>
      <c r="E325" s="413" t="s">
        <v>2285</v>
      </c>
      <c r="F325" s="594">
        <v>7.9100000000000004E-2</v>
      </c>
      <c r="G325" s="594">
        <v>0.2666</v>
      </c>
      <c r="H325" s="594">
        <v>0.28960000000000002</v>
      </c>
      <c r="J325" s="195"/>
      <c r="K325" s="232"/>
      <c r="M325" t="s">
        <v>721</v>
      </c>
      <c r="N325" t="s">
        <v>720</v>
      </c>
      <c r="O325" t="s">
        <v>1315</v>
      </c>
      <c r="P325" s="608">
        <v>7.9100000000000004E-2</v>
      </c>
      <c r="Q325" s="608">
        <v>0.2666</v>
      </c>
      <c r="S325" s="200">
        <f t="shared" si="8"/>
        <v>0</v>
      </c>
      <c r="T325" s="200">
        <f t="shared" si="9"/>
        <v>0</v>
      </c>
    </row>
    <row r="326" spans="1:20" ht="15">
      <c r="A326" s="415">
        <v>320</v>
      </c>
      <c r="B326" s="415">
        <v>168</v>
      </c>
      <c r="C326" s="66" t="s">
        <v>2408</v>
      </c>
      <c r="D326" s="66" t="s">
        <v>722</v>
      </c>
      <c r="E326" s="413" t="s">
        <v>2286</v>
      </c>
      <c r="F326" s="594">
        <v>6.83E-2</v>
      </c>
      <c r="G326" s="594">
        <v>0.1948</v>
      </c>
      <c r="H326" s="594">
        <v>0.2029</v>
      </c>
      <c r="J326" s="195"/>
      <c r="K326" s="232"/>
      <c r="M326" t="s">
        <v>723</v>
      </c>
      <c r="N326" t="s">
        <v>722</v>
      </c>
      <c r="O326" t="s">
        <v>1277</v>
      </c>
      <c r="P326" s="608">
        <v>6.83E-2</v>
      </c>
      <c r="Q326" s="608">
        <v>0.1948</v>
      </c>
      <c r="S326" s="200">
        <f t="shared" si="8"/>
        <v>0</v>
      </c>
      <c r="T326" s="200">
        <f t="shared" si="9"/>
        <v>0</v>
      </c>
    </row>
    <row r="327" spans="1:20" ht="15">
      <c r="A327" s="415">
        <v>321</v>
      </c>
      <c r="B327" s="415">
        <v>191</v>
      </c>
      <c r="C327" s="66" t="s">
        <v>2408</v>
      </c>
      <c r="D327" s="66" t="s">
        <v>724</v>
      </c>
      <c r="E327" s="413" t="s">
        <v>2287</v>
      </c>
      <c r="F327" s="594">
        <v>4.4999999999999998E-2</v>
      </c>
      <c r="G327" s="594">
        <v>0.17</v>
      </c>
      <c r="H327" s="594">
        <v>0.16769999999999999</v>
      </c>
      <c r="J327" s="195"/>
      <c r="K327" s="232"/>
      <c r="M327" t="s">
        <v>725</v>
      </c>
      <c r="N327" t="s">
        <v>724</v>
      </c>
      <c r="O327" t="s">
        <v>1430</v>
      </c>
      <c r="P327" s="608">
        <v>4.4999999999999998E-2</v>
      </c>
      <c r="Q327" s="608">
        <v>0.17</v>
      </c>
      <c r="S327" s="200">
        <f t="shared" ref="S327:S336" si="10">+F327-P327</f>
        <v>0</v>
      </c>
      <c r="T327" s="200">
        <f t="shared" ref="T327:T336" si="11">+G327-Q327</f>
        <v>0</v>
      </c>
    </row>
    <row r="328" spans="1:20" ht="15">
      <c r="A328" s="415">
        <v>322</v>
      </c>
      <c r="B328" s="415">
        <v>74</v>
      </c>
      <c r="C328" s="66" t="s">
        <v>2408</v>
      </c>
      <c r="D328" s="66" t="s">
        <v>726</v>
      </c>
      <c r="E328" s="413" t="s">
        <v>2288</v>
      </c>
      <c r="F328" s="594">
        <v>6.5500000000000003E-2</v>
      </c>
      <c r="G328" s="594">
        <v>0.2152</v>
      </c>
      <c r="H328" s="594">
        <v>0.21809999999999999</v>
      </c>
      <c r="J328" s="195"/>
      <c r="K328" s="232"/>
      <c r="M328" t="s">
        <v>727</v>
      </c>
      <c r="N328" t="s">
        <v>726</v>
      </c>
      <c r="O328" t="s">
        <v>1439</v>
      </c>
      <c r="P328" s="608">
        <v>6.5500000000000003E-2</v>
      </c>
      <c r="Q328" s="608">
        <v>0.2152</v>
      </c>
      <c r="S328" s="200">
        <f t="shared" si="10"/>
        <v>0</v>
      </c>
      <c r="T328" s="200">
        <f t="shared" si="11"/>
        <v>0</v>
      </c>
    </row>
    <row r="329" spans="1:20" ht="15">
      <c r="A329" s="415">
        <v>323</v>
      </c>
      <c r="B329" s="415">
        <v>155</v>
      </c>
      <c r="C329" s="66" t="s">
        <v>2408</v>
      </c>
      <c r="D329" s="66" t="s">
        <v>728</v>
      </c>
      <c r="E329" s="413" t="s">
        <v>2289</v>
      </c>
      <c r="F329" s="594">
        <v>4.9200000000000001E-2</v>
      </c>
      <c r="G329" s="594">
        <v>0.21879999999999999</v>
      </c>
      <c r="H329" s="594">
        <v>0.24809999999999999</v>
      </c>
      <c r="J329" s="195"/>
      <c r="K329" s="232"/>
      <c r="M329" t="s">
        <v>729</v>
      </c>
      <c r="N329" t="s">
        <v>728</v>
      </c>
      <c r="O329" t="s">
        <v>1285</v>
      </c>
      <c r="P329" s="608">
        <v>4.9200000000000001E-2</v>
      </c>
      <c r="Q329" s="608">
        <v>0.21879999999999999</v>
      </c>
      <c r="S329" s="200">
        <f t="shared" si="10"/>
        <v>0</v>
      </c>
      <c r="T329" s="200">
        <f t="shared" si="11"/>
        <v>0</v>
      </c>
    </row>
    <row r="330" spans="1:20" ht="15">
      <c r="A330" s="415">
        <v>324</v>
      </c>
      <c r="B330" s="415">
        <v>86</v>
      </c>
      <c r="C330" s="66" t="s">
        <v>2408</v>
      </c>
      <c r="D330" s="66" t="s">
        <v>730</v>
      </c>
      <c r="E330" s="413" t="s">
        <v>2290</v>
      </c>
      <c r="F330" s="594">
        <v>5.6399999999999999E-2</v>
      </c>
      <c r="G330" s="594">
        <v>0.17199999999999999</v>
      </c>
      <c r="H330" s="594">
        <v>0.1804</v>
      </c>
      <c r="J330" s="195"/>
      <c r="K330" s="232"/>
      <c r="M330" t="s">
        <v>731</v>
      </c>
      <c r="N330" t="s">
        <v>730</v>
      </c>
      <c r="O330" t="s">
        <v>1278</v>
      </c>
      <c r="P330" s="608">
        <v>5.6399999999999999E-2</v>
      </c>
      <c r="Q330" s="608">
        <v>0.17199999999999999</v>
      </c>
      <c r="S330" s="200">
        <f t="shared" si="10"/>
        <v>0</v>
      </c>
      <c r="T330" s="200">
        <f t="shared" si="11"/>
        <v>0</v>
      </c>
    </row>
    <row r="331" spans="1:20" ht="15">
      <c r="A331" s="415">
        <v>325</v>
      </c>
      <c r="B331" s="415">
        <v>140</v>
      </c>
      <c r="C331" s="66" t="s">
        <v>2408</v>
      </c>
      <c r="D331" s="66" t="s">
        <v>732</v>
      </c>
      <c r="E331" s="413" t="s">
        <v>2291</v>
      </c>
      <c r="F331" s="594">
        <v>6.4600000000000005E-2</v>
      </c>
      <c r="G331" s="594">
        <v>0.2374</v>
      </c>
      <c r="H331" s="594">
        <v>0.2482</v>
      </c>
      <c r="J331" s="195"/>
      <c r="K331" s="232"/>
      <c r="M331" t="s">
        <v>733</v>
      </c>
      <c r="N331" t="s">
        <v>732</v>
      </c>
      <c r="O331" t="s">
        <v>1471</v>
      </c>
      <c r="P331" s="608">
        <v>6.4600000000000005E-2</v>
      </c>
      <c r="Q331" s="608">
        <v>0.2374</v>
      </c>
      <c r="S331" s="200">
        <f t="shared" si="10"/>
        <v>0</v>
      </c>
      <c r="T331" s="200">
        <f t="shared" si="11"/>
        <v>0</v>
      </c>
    </row>
    <row r="332" spans="1:20" ht="15">
      <c r="A332" s="415">
        <v>326</v>
      </c>
      <c r="B332" s="415">
        <v>47</v>
      </c>
      <c r="C332" s="66" t="s">
        <v>2408</v>
      </c>
      <c r="D332" s="66" t="s">
        <v>734</v>
      </c>
      <c r="E332" s="413" t="s">
        <v>2292</v>
      </c>
      <c r="F332" s="594">
        <v>3.4500000000000003E-2</v>
      </c>
      <c r="G332" s="594">
        <v>0.16520000000000001</v>
      </c>
      <c r="H332" s="594">
        <v>0.17460000000000001</v>
      </c>
      <c r="J332" s="195"/>
      <c r="K332" s="232"/>
      <c r="M332" t="s">
        <v>735</v>
      </c>
      <c r="N332" t="s">
        <v>734</v>
      </c>
      <c r="O332" t="s">
        <v>1453</v>
      </c>
      <c r="P332" s="608">
        <v>3.4500000000000003E-2</v>
      </c>
      <c r="Q332" s="608">
        <v>0.16520000000000001</v>
      </c>
      <c r="S332" s="200">
        <f t="shared" si="10"/>
        <v>0</v>
      </c>
      <c r="T332" s="200">
        <f t="shared" si="11"/>
        <v>0</v>
      </c>
    </row>
    <row r="333" spans="1:20" ht="15">
      <c r="A333" s="415">
        <v>327</v>
      </c>
      <c r="B333" s="415">
        <v>330</v>
      </c>
      <c r="C333" s="66" t="s">
        <v>2408</v>
      </c>
      <c r="D333" s="66" t="s">
        <v>736</v>
      </c>
      <c r="E333" s="413" t="s">
        <v>2293</v>
      </c>
      <c r="F333" s="594">
        <v>4.9299999999999997E-2</v>
      </c>
      <c r="G333" s="594">
        <v>0.18229999999999999</v>
      </c>
      <c r="H333" s="594">
        <v>0.17760000000000001</v>
      </c>
      <c r="J333" s="195"/>
      <c r="K333" s="232"/>
      <c r="M333" t="s">
        <v>808</v>
      </c>
      <c r="N333" t="s">
        <v>736</v>
      </c>
      <c r="O333" t="s">
        <v>2488</v>
      </c>
      <c r="P333" s="608">
        <v>4.9299999999999997E-2</v>
      </c>
      <c r="Q333" s="608">
        <v>0.18229999999999999</v>
      </c>
      <c r="S333" s="200">
        <f t="shared" si="10"/>
        <v>0</v>
      </c>
      <c r="T333" s="200">
        <f t="shared" si="11"/>
        <v>0</v>
      </c>
    </row>
    <row r="334" spans="1:20" ht="15">
      <c r="A334" s="415">
        <v>328</v>
      </c>
      <c r="B334" s="415">
        <v>316</v>
      </c>
      <c r="C334" s="66" t="s">
        <v>2408</v>
      </c>
      <c r="D334" s="66" t="s">
        <v>737</v>
      </c>
      <c r="E334" s="413" t="s">
        <v>2294</v>
      </c>
      <c r="F334" s="594">
        <v>8.6900000000000005E-2</v>
      </c>
      <c r="G334" s="594">
        <v>0.25869999999999999</v>
      </c>
      <c r="H334" s="594">
        <v>0.2601</v>
      </c>
      <c r="J334" s="195"/>
      <c r="K334" s="232"/>
      <c r="M334" t="s">
        <v>738</v>
      </c>
      <c r="N334" t="s">
        <v>737</v>
      </c>
      <c r="O334" t="s">
        <v>1332</v>
      </c>
      <c r="P334" s="608">
        <v>8.6900000000000005E-2</v>
      </c>
      <c r="Q334" s="608">
        <v>0.25869999999999999</v>
      </c>
      <c r="S334" s="200">
        <f t="shared" si="10"/>
        <v>0</v>
      </c>
      <c r="T334" s="200">
        <f t="shared" si="11"/>
        <v>0</v>
      </c>
    </row>
    <row r="335" spans="1:20" ht="15">
      <c r="A335" s="415">
        <v>329</v>
      </c>
      <c r="B335" s="415">
        <v>274</v>
      </c>
      <c r="C335" s="66"/>
      <c r="D335" s="418" t="s">
        <v>768</v>
      </c>
      <c r="E335" s="417" t="s">
        <v>1584</v>
      </c>
      <c r="F335" s="420">
        <v>0</v>
      </c>
      <c r="G335" s="473">
        <v>0.11</v>
      </c>
      <c r="H335" s="420">
        <v>0</v>
      </c>
      <c r="J335" s="195"/>
      <c r="K335" s="232"/>
      <c r="M335" t="s">
        <v>1584</v>
      </c>
      <c r="N335" t="s">
        <v>768</v>
      </c>
      <c r="O335" t="s">
        <v>1649</v>
      </c>
      <c r="P335" s="608"/>
      <c r="Q335" s="608">
        <v>0.11</v>
      </c>
      <c r="S335" s="200">
        <f t="shared" si="10"/>
        <v>0</v>
      </c>
      <c r="T335" s="200">
        <f t="shared" si="11"/>
        <v>0</v>
      </c>
    </row>
    <row r="336" spans="1:20" ht="15">
      <c r="A336" s="415">
        <v>330</v>
      </c>
      <c r="B336" s="415">
        <v>325</v>
      </c>
      <c r="C336" s="66" t="s">
        <v>2405</v>
      </c>
      <c r="D336" s="66" t="s">
        <v>1510</v>
      </c>
      <c r="E336" s="413" t="s">
        <v>2328</v>
      </c>
      <c r="F336" s="595">
        <v>3.8699999999999998E-2</v>
      </c>
      <c r="G336" s="595">
        <v>0.1535</v>
      </c>
      <c r="H336" s="595">
        <v>0.1535</v>
      </c>
      <c r="J336" s="195"/>
      <c r="K336" s="232"/>
      <c r="M336" t="s">
        <v>1597</v>
      </c>
      <c r="N336" t="s">
        <v>1510</v>
      </c>
      <c r="O336" t="s">
        <v>2490</v>
      </c>
      <c r="P336" s="608">
        <v>3.8699999999999998E-2</v>
      </c>
      <c r="Q336" s="608">
        <v>0.1535</v>
      </c>
      <c r="S336" s="200">
        <f t="shared" si="10"/>
        <v>0</v>
      </c>
      <c r="T336" s="200">
        <f t="shared" si="11"/>
        <v>0</v>
      </c>
    </row>
    <row r="337" spans="4:20">
      <c r="D337" s="58"/>
      <c r="F337" s="12"/>
      <c r="G337" s="12"/>
      <c r="H337" s="12"/>
      <c r="K337" s="232"/>
      <c r="S337" s="200"/>
      <c r="T337" s="609"/>
    </row>
    <row r="338" spans="4:20">
      <c r="D338" t="s">
        <v>1638</v>
      </c>
      <c r="E338" s="11" t="s">
        <v>2327</v>
      </c>
      <c r="F338" s="421">
        <v>3.7100000000000001E-2</v>
      </c>
      <c r="G338" s="421">
        <v>0.14399999999999999</v>
      </c>
      <c r="H338" s="421">
        <v>0.14119999999999999</v>
      </c>
    </row>
    <row r="339" spans="4:20">
      <c r="D339" s="58"/>
      <c r="F339" s="12"/>
      <c r="G339" s="12"/>
      <c r="H339" s="12"/>
    </row>
    <row r="340" spans="4:20">
      <c r="D340" s="58"/>
      <c r="F340" s="12"/>
      <c r="G340" s="12"/>
      <c r="H340" s="12"/>
    </row>
    <row r="341" spans="4:20">
      <c r="D341" s="58"/>
      <c r="F341" s="12"/>
      <c r="G341" s="12"/>
      <c r="H341" s="12"/>
    </row>
    <row r="342" spans="4:20">
      <c r="D342" s="58"/>
      <c r="F342" s="12"/>
      <c r="G342" s="12"/>
      <c r="H342" s="12"/>
    </row>
    <row r="343" spans="4:20">
      <c r="D343" s="234"/>
      <c r="F343" s="12"/>
      <c r="G343" s="12"/>
      <c r="H343" s="12"/>
    </row>
    <row r="344" spans="4:20">
      <c r="D344" s="58"/>
      <c r="F344" s="12"/>
      <c r="G344" s="12"/>
      <c r="H344" s="12"/>
    </row>
    <row r="345" spans="4:20">
      <c r="D345" s="58"/>
      <c r="F345" s="12"/>
      <c r="G345" s="12"/>
      <c r="H345" s="12"/>
    </row>
    <row r="346" spans="4:20">
      <c r="D346" s="58"/>
      <c r="F346" s="12"/>
      <c r="G346" s="12"/>
      <c r="H346" s="12"/>
    </row>
    <row r="347" spans="4:20">
      <c r="D347" s="66"/>
    </row>
    <row r="348" spans="4:20">
      <c r="D348" s="66"/>
    </row>
  </sheetData>
  <sortState xmlns:xlrd2="http://schemas.microsoft.com/office/spreadsheetml/2017/richdata2" ref="C7:T336">
    <sortCondition ref="D7:D336"/>
  </sortState>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O55"/>
  <sheetViews>
    <sheetView workbookViewId="0">
      <selection activeCell="B2" sqref="B2"/>
    </sheetView>
  </sheetViews>
  <sheetFormatPr defaultRowHeight="14.4"/>
  <cols>
    <col min="1" max="1" width="30.109375" bestFit="1" customWidth="1"/>
    <col min="2" max="2" width="18.33203125" customWidth="1"/>
    <col min="3" max="3" width="14.88671875" bestFit="1" customWidth="1"/>
    <col min="4" max="4" width="14" customWidth="1"/>
    <col min="5" max="5" width="17.44140625" customWidth="1"/>
    <col min="6" max="6" width="14.109375" bestFit="1" customWidth="1"/>
    <col min="7" max="7" width="10.88671875" bestFit="1" customWidth="1"/>
  </cols>
  <sheetData>
    <row r="1" spans="1:15">
      <c r="A1" s="682" t="s">
        <v>36</v>
      </c>
      <c r="B1" s="682"/>
      <c r="C1" s="682"/>
      <c r="D1" s="682"/>
      <c r="E1" s="682"/>
      <c r="F1" s="682"/>
      <c r="G1" s="682"/>
      <c r="I1" s="33"/>
      <c r="J1" s="33"/>
      <c r="K1" s="33"/>
      <c r="L1" s="33"/>
      <c r="M1" s="33"/>
      <c r="N1" s="33"/>
      <c r="O1" s="33"/>
    </row>
    <row r="2" spans="1:15">
      <c r="A2" s="6" t="s">
        <v>37</v>
      </c>
      <c r="I2" s="33"/>
      <c r="J2" s="33"/>
      <c r="K2" s="33"/>
      <c r="L2" s="33"/>
      <c r="M2" s="33"/>
      <c r="N2" s="33"/>
      <c r="O2" s="33"/>
    </row>
    <row r="3" spans="1:15">
      <c r="I3" s="33"/>
      <c r="J3" s="33"/>
      <c r="K3" s="33"/>
      <c r="L3" s="33"/>
      <c r="M3" s="33"/>
      <c r="N3" s="33"/>
      <c r="O3" s="33"/>
    </row>
    <row r="4" spans="1:15" ht="33.75" customHeight="1">
      <c r="B4" s="141" t="s">
        <v>51</v>
      </c>
      <c r="C4" s="141" t="s">
        <v>98</v>
      </c>
      <c r="D4" s="141" t="s">
        <v>99</v>
      </c>
      <c r="E4" s="141" t="s">
        <v>100</v>
      </c>
      <c r="F4" s="141" t="s">
        <v>101</v>
      </c>
      <c r="G4" s="141" t="s">
        <v>102</v>
      </c>
      <c r="I4" s="33"/>
      <c r="J4" s="33"/>
      <c r="K4" s="33"/>
      <c r="L4" s="33"/>
      <c r="M4" s="33"/>
      <c r="N4" s="33"/>
      <c r="O4" s="33"/>
    </row>
    <row r="5" spans="1:15">
      <c r="A5" t="s">
        <v>72</v>
      </c>
      <c r="B5" s="19">
        <f>SUM(B6:B55)</f>
        <v>0</v>
      </c>
      <c r="C5" s="19">
        <f t="shared" ref="C5:G5" si="0">SUM(C6:C55)</f>
        <v>0</v>
      </c>
      <c r="D5" s="19">
        <f t="shared" si="0"/>
        <v>0</v>
      </c>
      <c r="E5" s="19">
        <f t="shared" si="0"/>
        <v>0</v>
      </c>
      <c r="F5" s="19">
        <f t="shared" si="0"/>
        <v>0</v>
      </c>
      <c r="G5" s="19">
        <f t="shared" si="0"/>
        <v>0</v>
      </c>
    </row>
    <row r="6" spans="1:15">
      <c r="A6" s="11" t="s">
        <v>103</v>
      </c>
      <c r="B6" s="147">
        <v>0</v>
      </c>
      <c r="C6" s="147"/>
      <c r="D6" s="147"/>
      <c r="E6" s="147"/>
      <c r="F6" s="147"/>
      <c r="G6" s="147"/>
    </row>
    <row r="7" spans="1:15">
      <c r="A7" s="11" t="s">
        <v>103</v>
      </c>
      <c r="B7" s="147"/>
      <c r="C7" s="147"/>
      <c r="D7" s="147"/>
      <c r="E7" s="147"/>
      <c r="F7" s="147"/>
      <c r="G7" s="147"/>
    </row>
    <row r="8" spans="1:15">
      <c r="A8" s="11" t="s">
        <v>103</v>
      </c>
      <c r="B8" s="147"/>
      <c r="C8" s="147"/>
      <c r="D8" s="147"/>
      <c r="E8" s="147"/>
      <c r="F8" s="147"/>
      <c r="G8" s="147"/>
    </row>
    <row r="9" spans="1:15">
      <c r="A9" s="11" t="s">
        <v>103</v>
      </c>
      <c r="B9" s="147"/>
      <c r="C9" s="147"/>
      <c r="D9" s="147"/>
      <c r="E9" s="147"/>
      <c r="F9" s="147"/>
      <c r="G9" s="147"/>
    </row>
    <row r="10" spans="1:15">
      <c r="A10" s="11" t="s">
        <v>103</v>
      </c>
      <c r="B10" s="147"/>
      <c r="C10" s="147"/>
      <c r="D10" s="147"/>
      <c r="E10" s="147"/>
      <c r="F10" s="147"/>
      <c r="G10" s="147"/>
    </row>
    <row r="11" spans="1:15">
      <c r="A11" s="11" t="s">
        <v>103</v>
      </c>
      <c r="B11" s="147"/>
      <c r="C11" s="147"/>
      <c r="D11" s="147"/>
      <c r="E11" s="147"/>
      <c r="F11" s="147"/>
      <c r="G11" s="147"/>
    </row>
    <row r="12" spans="1:15">
      <c r="A12" s="11" t="s">
        <v>103</v>
      </c>
      <c r="B12" s="147"/>
      <c r="C12" s="147"/>
      <c r="D12" s="147"/>
      <c r="E12" s="147"/>
      <c r="F12" s="147"/>
      <c r="G12" s="147"/>
    </row>
    <row r="13" spans="1:15">
      <c r="A13" s="11" t="s">
        <v>103</v>
      </c>
      <c r="B13" s="147"/>
      <c r="C13" s="147"/>
      <c r="D13" s="147"/>
      <c r="E13" s="147"/>
      <c r="F13" s="147"/>
      <c r="G13" s="147"/>
    </row>
    <row r="14" spans="1:15">
      <c r="A14" s="11" t="s">
        <v>103</v>
      </c>
      <c r="B14" s="147"/>
      <c r="C14" s="147"/>
      <c r="D14" s="147"/>
      <c r="E14" s="147"/>
      <c r="F14" s="147"/>
      <c r="G14" s="147"/>
    </row>
    <row r="15" spans="1:15">
      <c r="A15" s="11" t="s">
        <v>103</v>
      </c>
      <c r="B15" s="147"/>
      <c r="C15" s="147"/>
      <c r="D15" s="147"/>
      <c r="E15" s="147"/>
      <c r="F15" s="147"/>
      <c r="G15" s="147"/>
    </row>
    <row r="16" spans="1:15">
      <c r="A16" s="11" t="s">
        <v>103</v>
      </c>
      <c r="B16" s="147"/>
      <c r="C16" s="147"/>
      <c r="D16" s="147"/>
      <c r="E16" s="147"/>
      <c r="F16" s="147"/>
      <c r="G16" s="147"/>
    </row>
    <row r="17" spans="1:7">
      <c r="A17" s="11" t="s">
        <v>103</v>
      </c>
      <c r="B17" s="147"/>
      <c r="C17" s="147"/>
      <c r="D17" s="147"/>
      <c r="E17" s="147"/>
      <c r="F17" s="147"/>
      <c r="G17" s="147"/>
    </row>
    <row r="18" spans="1:7">
      <c r="A18" s="11" t="s">
        <v>103</v>
      </c>
      <c r="B18" s="147"/>
      <c r="C18" s="147"/>
      <c r="D18" s="147"/>
      <c r="E18" s="147"/>
      <c r="F18" s="147"/>
      <c r="G18" s="147"/>
    </row>
    <row r="19" spans="1:7">
      <c r="A19" s="11" t="s">
        <v>103</v>
      </c>
      <c r="B19" s="147"/>
      <c r="C19" s="147"/>
      <c r="D19" s="147"/>
      <c r="E19" s="147"/>
      <c r="F19" s="147"/>
      <c r="G19" s="147"/>
    </row>
    <row r="20" spans="1:7">
      <c r="A20" s="11" t="s">
        <v>103</v>
      </c>
      <c r="B20" s="147"/>
      <c r="C20" s="147"/>
      <c r="D20" s="147"/>
      <c r="E20" s="147"/>
      <c r="F20" s="147"/>
      <c r="G20" s="147"/>
    </row>
    <row r="21" spans="1:7">
      <c r="A21" s="11" t="s">
        <v>103</v>
      </c>
      <c r="B21" s="147"/>
      <c r="C21" s="147"/>
      <c r="D21" s="147"/>
      <c r="E21" s="147"/>
      <c r="F21" s="147"/>
      <c r="G21" s="147"/>
    </row>
    <row r="22" spans="1:7">
      <c r="A22" s="11" t="s">
        <v>103</v>
      </c>
      <c r="B22" s="147"/>
      <c r="C22" s="147"/>
      <c r="D22" s="147"/>
      <c r="E22" s="147"/>
      <c r="F22" s="147"/>
      <c r="G22" s="147"/>
    </row>
    <row r="23" spans="1:7">
      <c r="A23" s="11" t="s">
        <v>103</v>
      </c>
      <c r="B23" s="147"/>
      <c r="C23" s="147"/>
      <c r="D23" s="147"/>
      <c r="E23" s="147"/>
      <c r="F23" s="147"/>
      <c r="G23" s="147"/>
    </row>
    <row r="24" spans="1:7">
      <c r="A24" s="11" t="s">
        <v>103</v>
      </c>
      <c r="B24" s="147"/>
      <c r="C24" s="147"/>
      <c r="D24" s="147"/>
      <c r="E24" s="147"/>
      <c r="F24" s="147"/>
      <c r="G24" s="147"/>
    </row>
    <row r="25" spans="1:7">
      <c r="A25" s="11" t="s">
        <v>103</v>
      </c>
      <c r="B25" s="147"/>
      <c r="C25" s="147"/>
      <c r="D25" s="147"/>
      <c r="E25" s="147"/>
      <c r="F25" s="147"/>
      <c r="G25" s="147"/>
    </row>
    <row r="26" spans="1:7">
      <c r="A26" s="11" t="s">
        <v>103</v>
      </c>
      <c r="B26" s="147"/>
      <c r="C26" s="147"/>
      <c r="D26" s="147"/>
      <c r="E26" s="147"/>
      <c r="F26" s="147"/>
      <c r="G26" s="147"/>
    </row>
    <row r="27" spans="1:7">
      <c r="A27" s="11" t="s">
        <v>103</v>
      </c>
      <c r="B27" s="147"/>
      <c r="C27" s="147"/>
      <c r="D27" s="147"/>
      <c r="E27" s="147"/>
      <c r="F27" s="147"/>
      <c r="G27" s="147"/>
    </row>
    <row r="28" spans="1:7">
      <c r="A28" s="11" t="s">
        <v>103</v>
      </c>
      <c r="B28" s="147"/>
      <c r="C28" s="147"/>
      <c r="D28" s="147"/>
      <c r="E28" s="147"/>
      <c r="F28" s="147"/>
      <c r="G28" s="147"/>
    </row>
    <row r="29" spans="1:7">
      <c r="A29" s="11" t="s">
        <v>103</v>
      </c>
      <c r="B29" s="147"/>
      <c r="C29" s="147"/>
      <c r="D29" s="147"/>
      <c r="E29" s="147"/>
      <c r="F29" s="147"/>
      <c r="G29" s="147"/>
    </row>
    <row r="30" spans="1:7">
      <c r="A30" s="11" t="s">
        <v>103</v>
      </c>
      <c r="B30" s="147"/>
      <c r="C30" s="147"/>
      <c r="D30" s="147"/>
      <c r="E30" s="147"/>
      <c r="F30" s="147"/>
      <c r="G30" s="147"/>
    </row>
    <row r="31" spans="1:7">
      <c r="A31" s="11" t="s">
        <v>103</v>
      </c>
      <c r="B31" s="147"/>
      <c r="C31" s="147"/>
      <c r="D31" s="147"/>
      <c r="E31" s="147"/>
      <c r="F31" s="147"/>
      <c r="G31" s="147"/>
    </row>
    <row r="32" spans="1:7">
      <c r="A32" s="11" t="s">
        <v>103</v>
      </c>
      <c r="B32" s="147"/>
      <c r="C32" s="147"/>
      <c r="D32" s="147"/>
      <c r="E32" s="147"/>
      <c r="F32" s="147"/>
      <c r="G32" s="147"/>
    </row>
    <row r="33" spans="1:7">
      <c r="A33" s="11" t="s">
        <v>103</v>
      </c>
      <c r="B33" s="147"/>
      <c r="C33" s="147"/>
      <c r="D33" s="147"/>
      <c r="E33" s="147"/>
      <c r="F33" s="147"/>
      <c r="G33" s="147"/>
    </row>
    <row r="34" spans="1:7">
      <c r="A34" s="11" t="s">
        <v>103</v>
      </c>
      <c r="B34" s="147"/>
      <c r="C34" s="147"/>
      <c r="D34" s="147"/>
      <c r="E34" s="147"/>
      <c r="F34" s="147"/>
      <c r="G34" s="147"/>
    </row>
    <row r="35" spans="1:7">
      <c r="A35" s="11" t="s">
        <v>103</v>
      </c>
      <c r="B35" s="147"/>
      <c r="C35" s="147"/>
      <c r="D35" s="147"/>
      <c r="E35" s="147"/>
      <c r="F35" s="147"/>
      <c r="G35" s="147"/>
    </row>
    <row r="36" spans="1:7">
      <c r="A36" s="11" t="s">
        <v>103</v>
      </c>
      <c r="B36" s="147"/>
      <c r="C36" s="147"/>
      <c r="D36" s="147"/>
      <c r="E36" s="147"/>
      <c r="F36" s="147"/>
      <c r="G36" s="147"/>
    </row>
    <row r="37" spans="1:7">
      <c r="A37" s="11" t="s">
        <v>103</v>
      </c>
      <c r="B37" s="147"/>
      <c r="C37" s="147"/>
      <c r="D37" s="147"/>
      <c r="E37" s="147"/>
      <c r="F37" s="147"/>
      <c r="G37" s="147"/>
    </row>
    <row r="38" spans="1:7">
      <c r="A38" s="11" t="s">
        <v>103</v>
      </c>
      <c r="B38" s="147"/>
      <c r="C38" s="147"/>
      <c r="D38" s="147"/>
      <c r="E38" s="147"/>
      <c r="F38" s="147"/>
      <c r="G38" s="147"/>
    </row>
    <row r="39" spans="1:7">
      <c r="A39" s="11" t="s">
        <v>103</v>
      </c>
      <c r="B39" s="147"/>
      <c r="C39" s="147"/>
      <c r="D39" s="147"/>
      <c r="E39" s="147"/>
      <c r="F39" s="147"/>
      <c r="G39" s="147"/>
    </row>
    <row r="40" spans="1:7">
      <c r="A40" s="11" t="s">
        <v>103</v>
      </c>
      <c r="B40" s="147"/>
      <c r="C40" s="147"/>
      <c r="D40" s="147"/>
      <c r="E40" s="147"/>
      <c r="F40" s="147"/>
      <c r="G40" s="147"/>
    </row>
    <row r="41" spans="1:7">
      <c r="A41" s="11" t="s">
        <v>103</v>
      </c>
      <c r="B41" s="147"/>
      <c r="C41" s="147"/>
      <c r="D41" s="147"/>
      <c r="E41" s="147"/>
      <c r="F41" s="147"/>
      <c r="G41" s="147"/>
    </row>
    <row r="42" spans="1:7">
      <c r="A42" s="11" t="s">
        <v>103</v>
      </c>
      <c r="B42" s="147"/>
      <c r="C42" s="147"/>
      <c r="D42" s="147"/>
      <c r="E42" s="147"/>
      <c r="F42" s="147"/>
      <c r="G42" s="147"/>
    </row>
    <row r="43" spans="1:7">
      <c r="A43" s="11" t="s">
        <v>103</v>
      </c>
      <c r="B43" s="147"/>
      <c r="C43" s="147"/>
      <c r="D43" s="147"/>
      <c r="E43" s="147"/>
      <c r="F43" s="147"/>
      <c r="G43" s="147"/>
    </row>
    <row r="44" spans="1:7">
      <c r="A44" s="11" t="s">
        <v>103</v>
      </c>
      <c r="B44" s="147"/>
      <c r="C44" s="147"/>
      <c r="D44" s="147"/>
      <c r="E44" s="147"/>
      <c r="F44" s="147"/>
      <c r="G44" s="147"/>
    </row>
    <row r="45" spans="1:7">
      <c r="A45" s="11" t="s">
        <v>103</v>
      </c>
      <c r="B45" s="147"/>
      <c r="C45" s="147"/>
      <c r="D45" s="147"/>
      <c r="E45" s="147"/>
      <c r="F45" s="147"/>
      <c r="G45" s="147"/>
    </row>
    <row r="46" spans="1:7">
      <c r="A46" s="11" t="s">
        <v>103</v>
      </c>
      <c r="B46" s="147"/>
      <c r="C46" s="147"/>
      <c r="D46" s="147"/>
      <c r="E46" s="147"/>
      <c r="F46" s="147"/>
      <c r="G46" s="147"/>
    </row>
    <row r="47" spans="1:7">
      <c r="A47" s="11" t="s">
        <v>103</v>
      </c>
      <c r="B47" s="147"/>
      <c r="C47" s="147"/>
      <c r="D47" s="147"/>
      <c r="E47" s="147"/>
      <c r="F47" s="147"/>
      <c r="G47" s="147"/>
    </row>
    <row r="48" spans="1:7">
      <c r="A48" s="11" t="s">
        <v>103</v>
      </c>
      <c r="B48" s="147"/>
      <c r="C48" s="147"/>
      <c r="D48" s="147"/>
      <c r="E48" s="147"/>
      <c r="F48" s="147"/>
      <c r="G48" s="147"/>
    </row>
    <row r="49" spans="1:7">
      <c r="A49" s="11" t="s">
        <v>103</v>
      </c>
      <c r="B49" s="147"/>
      <c r="C49" s="147"/>
      <c r="D49" s="147"/>
      <c r="E49" s="147"/>
      <c r="F49" s="147"/>
      <c r="G49" s="147"/>
    </row>
    <row r="50" spans="1:7">
      <c r="A50" s="11" t="s">
        <v>103</v>
      </c>
      <c r="B50" s="147"/>
      <c r="C50" s="147"/>
      <c r="D50" s="147"/>
      <c r="E50" s="147"/>
      <c r="F50" s="147"/>
      <c r="G50" s="147"/>
    </row>
    <row r="51" spans="1:7">
      <c r="A51" s="11" t="s">
        <v>103</v>
      </c>
      <c r="B51" s="147"/>
      <c r="C51" s="147"/>
      <c r="D51" s="147"/>
      <c r="E51" s="147"/>
      <c r="F51" s="147"/>
      <c r="G51" s="147"/>
    </row>
    <row r="52" spans="1:7">
      <c r="A52" s="11" t="s">
        <v>103</v>
      </c>
      <c r="B52" s="147"/>
      <c r="C52" s="147"/>
      <c r="D52" s="147"/>
      <c r="E52" s="147"/>
      <c r="F52" s="147"/>
      <c r="G52" s="147"/>
    </row>
    <row r="53" spans="1:7">
      <c r="A53" s="11" t="s">
        <v>103</v>
      </c>
      <c r="B53" s="147"/>
      <c r="C53" s="147"/>
      <c r="D53" s="147"/>
      <c r="E53" s="147"/>
      <c r="F53" s="147"/>
      <c r="G53" s="147"/>
    </row>
    <row r="54" spans="1:7">
      <c r="A54" s="11" t="s">
        <v>103</v>
      </c>
      <c r="B54" s="147"/>
      <c r="C54" s="147"/>
      <c r="D54" s="147"/>
      <c r="E54" s="147"/>
      <c r="F54" s="147"/>
      <c r="G54" s="147"/>
    </row>
    <row r="55" spans="1:7">
      <c r="A55" s="11" t="s">
        <v>103</v>
      </c>
      <c r="B55" s="147"/>
      <c r="C55" s="147"/>
      <c r="D55" s="147"/>
      <c r="E55" s="147"/>
      <c r="F55" s="147"/>
      <c r="G55" s="147"/>
    </row>
  </sheetData>
  <mergeCells count="1">
    <mergeCell ref="A1:G1"/>
  </mergeCells>
  <hyperlinks>
    <hyperlink ref="A2" location="'Fund Balance Summary'!A1" display="(Return to sheet)" xr:uid="{00000000-0004-0000-0400-000000000000}"/>
  </hyperlink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sheetPr>
  <dimension ref="A1:D28"/>
  <sheetViews>
    <sheetView workbookViewId="0">
      <selection activeCell="B3" sqref="B3"/>
    </sheetView>
  </sheetViews>
  <sheetFormatPr defaultRowHeight="14.4"/>
  <cols>
    <col min="1" max="1" width="49.6640625" bestFit="1" customWidth="1"/>
    <col min="2" max="2" width="17.44140625" customWidth="1"/>
    <col min="3" max="3" width="19" customWidth="1"/>
  </cols>
  <sheetData>
    <row r="1" spans="1:4">
      <c r="A1" s="682" t="s">
        <v>38</v>
      </c>
      <c r="B1" s="682"/>
      <c r="C1" s="682"/>
      <c r="D1" s="7"/>
    </row>
    <row r="2" spans="1:4">
      <c r="A2" s="682" t="s">
        <v>2535</v>
      </c>
      <c r="B2" s="682"/>
      <c r="C2" s="682"/>
    </row>
    <row r="3" spans="1:4">
      <c r="A3" s="6" t="s">
        <v>39</v>
      </c>
    </row>
    <row r="5" spans="1:4">
      <c r="A5" t="s">
        <v>40</v>
      </c>
      <c r="B5" s="2"/>
      <c r="C5" s="1">
        <v>0</v>
      </c>
    </row>
    <row r="6" spans="1:4">
      <c r="A6" t="s">
        <v>41</v>
      </c>
      <c r="B6" s="2"/>
      <c r="C6" s="1">
        <v>0</v>
      </c>
    </row>
    <row r="7" spans="1:4">
      <c r="A7" t="s">
        <v>42</v>
      </c>
      <c r="B7" s="2"/>
      <c r="C7" s="9">
        <f>C5-C6</f>
        <v>0</v>
      </c>
    </row>
    <row r="8" spans="1:4">
      <c r="A8" t="s">
        <v>43</v>
      </c>
      <c r="B8" s="2"/>
      <c r="C8" s="2"/>
    </row>
    <row r="9" spans="1:4">
      <c r="A9" s="144" t="s">
        <v>44</v>
      </c>
      <c r="B9" s="1">
        <v>0</v>
      </c>
      <c r="C9" s="2"/>
    </row>
    <row r="10" spans="1:4">
      <c r="A10" s="145" t="s">
        <v>45</v>
      </c>
      <c r="B10" s="62">
        <v>0</v>
      </c>
      <c r="C10" s="2"/>
    </row>
    <row r="11" spans="1:4">
      <c r="A11" s="145" t="s">
        <v>46</v>
      </c>
      <c r="B11" s="62">
        <v>0</v>
      </c>
      <c r="C11" s="2"/>
    </row>
    <row r="12" spans="1:4">
      <c r="A12" s="144" t="s">
        <v>47</v>
      </c>
      <c r="B12" s="1">
        <v>0</v>
      </c>
      <c r="C12" s="2"/>
    </row>
    <row r="13" spans="1:4">
      <c r="A13" s="145" t="s">
        <v>48</v>
      </c>
      <c r="B13" s="62">
        <v>0</v>
      </c>
      <c r="C13" s="2"/>
    </row>
    <row r="14" spans="1:4" ht="16.2">
      <c r="A14" t="s">
        <v>49</v>
      </c>
      <c r="B14" s="2"/>
      <c r="C14" s="8">
        <f>SUM(B9:B13,C7)</f>
        <v>0</v>
      </c>
    </row>
    <row r="15" spans="1:4">
      <c r="B15" s="2"/>
    </row>
    <row r="16" spans="1:4">
      <c r="B16" s="2"/>
    </row>
    <row r="17" spans="2:2">
      <c r="B17" s="2"/>
    </row>
    <row r="18" spans="2:2">
      <c r="B18" s="2"/>
    </row>
    <row r="19" spans="2:2">
      <c r="B19" s="2"/>
    </row>
    <row r="20" spans="2:2">
      <c r="B20" s="2"/>
    </row>
    <row r="21" spans="2:2">
      <c r="B21" s="2"/>
    </row>
    <row r="22" spans="2:2">
      <c r="B22" s="2"/>
    </row>
    <row r="23" spans="2:2">
      <c r="B23" s="2"/>
    </row>
    <row r="24" spans="2:2">
      <c r="B24" s="2"/>
    </row>
    <row r="25" spans="2:2">
      <c r="B25" s="2"/>
    </row>
    <row r="26" spans="2:2">
      <c r="B26" s="2"/>
    </row>
    <row r="27" spans="2:2">
      <c r="B27" s="2"/>
    </row>
    <row r="28" spans="2:2">
      <c r="B28" s="2"/>
    </row>
  </sheetData>
  <mergeCells count="2">
    <mergeCell ref="A1:C1"/>
    <mergeCell ref="A2:C2"/>
  </mergeCells>
  <hyperlinks>
    <hyperlink ref="A3" location="'Fund Balance Summary'!A1" display="(Return to summary sheet)" xr:uid="{00000000-0004-0000-0500-000000000000}"/>
  </hyperlink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
  <sheetViews>
    <sheetView workbookViewId="0"/>
  </sheetViews>
  <sheetFormatPr defaultRowHeight="14.4"/>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sheetPr>
  <dimension ref="A1:U174"/>
  <sheetViews>
    <sheetView zoomScale="90" zoomScaleNormal="90" workbookViewId="0">
      <selection activeCell="C12" sqref="C12"/>
    </sheetView>
  </sheetViews>
  <sheetFormatPr defaultRowHeight="14.4"/>
  <cols>
    <col min="1" max="1" width="46" customWidth="1"/>
    <col min="2" max="2" width="16" bestFit="1" customWidth="1"/>
    <col min="3" max="3" width="16.88671875" style="2" bestFit="1" customWidth="1"/>
    <col min="4" max="4" width="15" bestFit="1" customWidth="1"/>
    <col min="5" max="5" width="4.33203125" customWidth="1"/>
    <col min="6" max="6" width="16" bestFit="1" customWidth="1"/>
    <col min="7" max="7" width="15" bestFit="1" customWidth="1"/>
    <col min="8" max="8" width="14.44140625" customWidth="1"/>
    <col min="9" max="11" width="13" customWidth="1"/>
    <col min="18" max="18" width="14.6640625" customWidth="1"/>
    <col min="19" max="20" width="12.88671875" bestFit="1" customWidth="1"/>
  </cols>
  <sheetData>
    <row r="1" spans="1:7">
      <c r="A1" s="682" t="s">
        <v>50</v>
      </c>
      <c r="B1" s="682"/>
      <c r="C1" s="682"/>
      <c r="F1" s="67" t="str">
        <f>'Fund Balance Summary'!$B$1</f>
        <v>14005</v>
      </c>
    </row>
    <row r="2" spans="1:7">
      <c r="A2" s="682" t="s">
        <v>51</v>
      </c>
      <c r="B2" s="682"/>
      <c r="C2" s="682"/>
    </row>
    <row r="3" spans="1:7">
      <c r="A3" s="6" t="s">
        <v>39</v>
      </c>
    </row>
    <row r="5" spans="1:7">
      <c r="A5" t="s">
        <v>54</v>
      </c>
      <c r="B5" s="26">
        <f>VLOOKUP($F$1,Indirects!$D$7:$I$342,4,FALSE)</f>
        <v>0.16259999999999999</v>
      </c>
    </row>
    <row r="6" spans="1:7">
      <c r="A6" t="s">
        <v>66</v>
      </c>
      <c r="B6" s="26">
        <f>VLOOKUP($F$1,Indirects!$D$7:$I$342,3,FALSE)</f>
        <v>2.6100000000000002E-2</v>
      </c>
    </row>
    <row r="7" spans="1:7">
      <c r="A7" t="s">
        <v>67</v>
      </c>
      <c r="B7" s="26">
        <f>VLOOKUP($F$1,Indirects!$D$7:$I$342,5,FALSE)</f>
        <v>0.16400000000000001</v>
      </c>
    </row>
    <row r="8" spans="1:7">
      <c r="B8" s="12"/>
    </row>
    <row r="9" spans="1:7" ht="15" thickBot="1">
      <c r="B9" s="12"/>
    </row>
    <row r="10" spans="1:7" ht="17.25" customHeight="1">
      <c r="A10" s="162" t="s">
        <v>1543</v>
      </c>
      <c r="B10" s="62"/>
      <c r="C10" s="109"/>
      <c r="E10" s="688" t="s">
        <v>1985</v>
      </c>
      <c r="F10" s="689"/>
      <c r="G10" s="690"/>
    </row>
    <row r="11" spans="1:7">
      <c r="A11" t="s">
        <v>58</v>
      </c>
      <c r="B11" s="62"/>
      <c r="C11" s="28">
        <f>VLOOKUP($F$1,ALLOC!$B$7:$AR$338,42,FALSE)</f>
        <v>0</v>
      </c>
      <c r="E11" s="691"/>
      <c r="F11" s="692"/>
      <c r="G11" s="693"/>
    </row>
    <row r="12" spans="1:7">
      <c r="A12" t="s">
        <v>1570</v>
      </c>
      <c r="B12" s="62"/>
      <c r="C12" s="28">
        <f>VLOOKUP($F$1,ALLOC!$B$7:$AR$338,43,FALSE)</f>
        <v>353454.04000000004</v>
      </c>
      <c r="D12" t="s">
        <v>1988</v>
      </c>
      <c r="E12" s="691"/>
      <c r="F12" s="692"/>
      <c r="G12" s="693"/>
    </row>
    <row r="13" spans="1:7" ht="16.2">
      <c r="A13" t="s">
        <v>56</v>
      </c>
      <c r="B13" s="62"/>
      <c r="C13" s="153">
        <f>+C11+C12</f>
        <v>353454.04000000004</v>
      </c>
      <c r="E13" s="691"/>
      <c r="F13" s="692"/>
      <c r="G13" s="693"/>
    </row>
    <row r="14" spans="1:7" ht="16.2">
      <c r="B14" s="62"/>
      <c r="C14" s="109"/>
      <c r="E14" s="691"/>
      <c r="F14" s="692"/>
      <c r="G14" s="693"/>
    </row>
    <row r="15" spans="1:7">
      <c r="A15" t="s">
        <v>1574</v>
      </c>
      <c r="C15" s="1">
        <v>0</v>
      </c>
      <c r="E15" s="691"/>
      <c r="F15" s="692"/>
      <c r="G15" s="693"/>
    </row>
    <row r="16" spans="1:7" ht="16.2">
      <c r="A16" t="s">
        <v>64</v>
      </c>
      <c r="B16" s="62"/>
      <c r="C16" s="15">
        <f>IF(C15&gt;C13,0,MIN(C13*1,C13-C15))</f>
        <v>353454.04000000004</v>
      </c>
      <c r="E16" s="691"/>
      <c r="F16" s="692"/>
      <c r="G16" s="693"/>
    </row>
    <row r="17" spans="1:7" ht="15" thickBot="1">
      <c r="B17" s="12"/>
      <c r="E17" s="694"/>
      <c r="F17" s="695"/>
      <c r="G17" s="696"/>
    </row>
    <row r="18" spans="1:7">
      <c r="A18" s="162" t="s">
        <v>52</v>
      </c>
    </row>
    <row r="19" spans="1:7">
      <c r="A19" t="s">
        <v>58</v>
      </c>
      <c r="B19" s="2"/>
      <c r="C19" s="28">
        <f>VLOOKUP($F$1,ALLOC!$B$7:$AR$338,3,FALSE)</f>
        <v>0</v>
      </c>
    </row>
    <row r="20" spans="1:7">
      <c r="A20" t="s">
        <v>55</v>
      </c>
      <c r="B20" s="2"/>
      <c r="C20" s="28">
        <f>VLOOKUP($F$1,ALLOC!$B$7:$AR$338,6,FALSE)</f>
        <v>8037347.8899999997</v>
      </c>
    </row>
    <row r="21" spans="1:7">
      <c r="A21" t="s">
        <v>56</v>
      </c>
      <c r="B21" s="2"/>
      <c r="C21" s="3">
        <f>+C19+C20</f>
        <v>8037347.8899999997</v>
      </c>
    </row>
    <row r="22" spans="1:7">
      <c r="A22" t="s">
        <v>57</v>
      </c>
      <c r="B22" s="2"/>
    </row>
    <row r="23" spans="1:7">
      <c r="A23" t="s">
        <v>53</v>
      </c>
      <c r="B23" s="1">
        <v>0</v>
      </c>
    </row>
    <row r="24" spans="1:7">
      <c r="A24" t="s">
        <v>59</v>
      </c>
      <c r="B24" s="28">
        <f>VLOOKUP($F$1,ALLOC!$B$7:$AR$338,7,FALSE)</f>
        <v>1291980.6599999999</v>
      </c>
    </row>
    <row r="25" spans="1:7">
      <c r="A25" t="s">
        <v>60</v>
      </c>
      <c r="B25" s="2">
        <f>(B23-B24)*(B5)</f>
        <v>-210076.05531599998</v>
      </c>
    </row>
    <row r="26" spans="1:7">
      <c r="A26" t="s">
        <v>61</v>
      </c>
      <c r="B26" s="2">
        <f>B23-B24+B25</f>
        <v>-1502056.7153159999</v>
      </c>
    </row>
    <row r="27" spans="1:7">
      <c r="A27" t="s">
        <v>62</v>
      </c>
      <c r="B27" s="1">
        <v>0</v>
      </c>
    </row>
    <row r="28" spans="1:7">
      <c r="A28" t="s">
        <v>63</v>
      </c>
      <c r="B28" s="2"/>
      <c r="C28" s="2">
        <f>B26-B27</f>
        <v>-1502056.7153159999</v>
      </c>
    </row>
    <row r="29" spans="1:7" ht="16.2">
      <c r="A29" t="s">
        <v>64</v>
      </c>
      <c r="B29" s="2"/>
      <c r="C29" s="15">
        <f>IF(C28&gt;C21,0,MIN(C20*0.1,C21-C28))</f>
        <v>803734.78899999999</v>
      </c>
    </row>
    <row r="30" spans="1:7" ht="16.2">
      <c r="A30" t="s">
        <v>775</v>
      </c>
      <c r="B30" s="2"/>
      <c r="C30" s="27">
        <f>MIN(C20,(C28-C19))+C29-C20</f>
        <v>-8735669.8163159993</v>
      </c>
    </row>
    <row r="31" spans="1:7">
      <c r="B31" s="2"/>
    </row>
    <row r="32" spans="1:7">
      <c r="A32" s="162" t="s">
        <v>70</v>
      </c>
      <c r="B32" s="2"/>
    </row>
    <row r="33" spans="1:10">
      <c r="A33" t="s">
        <v>58</v>
      </c>
      <c r="B33" s="2"/>
      <c r="C33" s="28">
        <f>VLOOKUP($F$1,ALLOC!$B$7:$AR$338,22,FALSE)</f>
        <v>0</v>
      </c>
    </row>
    <row r="34" spans="1:10">
      <c r="A34" t="s">
        <v>55</v>
      </c>
      <c r="B34" s="2"/>
      <c r="C34" s="28">
        <f>VLOOKUP($F$1,ALLOC!$B$7:$AR$338,21,FALSE)</f>
        <v>0</v>
      </c>
    </row>
    <row r="35" spans="1:10">
      <c r="A35" t="s">
        <v>56</v>
      </c>
      <c r="B35" s="2"/>
      <c r="C35" s="3">
        <f>+C33+C34</f>
        <v>0</v>
      </c>
    </row>
    <row r="36" spans="1:10">
      <c r="A36" t="s">
        <v>57</v>
      </c>
      <c r="B36" s="2"/>
    </row>
    <row r="37" spans="1:10">
      <c r="A37" t="s">
        <v>53</v>
      </c>
      <c r="B37" s="1">
        <v>0</v>
      </c>
    </row>
    <row r="38" spans="1:10">
      <c r="A38" t="s">
        <v>60</v>
      </c>
      <c r="B38" s="28">
        <f>VLOOKUP($F$1,ALLOC!$B$7:$AR$338,23,FALSE)</f>
        <v>0</v>
      </c>
      <c r="C38" s="2">
        <f>B37+B38</f>
        <v>0</v>
      </c>
    </row>
    <row r="39" spans="1:10" ht="16.2">
      <c r="A39" t="s">
        <v>64</v>
      </c>
      <c r="B39" s="2"/>
      <c r="C39" s="15">
        <f>IF(C38&gt;C35,0,MIN(C34*0.1,C35-C38))</f>
        <v>0</v>
      </c>
    </row>
    <row r="40" spans="1:10" ht="16.2">
      <c r="A40" t="s">
        <v>775</v>
      </c>
      <c r="B40" s="2"/>
      <c r="C40" s="27">
        <f>MIN(C34,C38-C33)+C39-C34</f>
        <v>0</v>
      </c>
    </row>
    <row r="41" spans="1:10" ht="16.2">
      <c r="B41" s="62"/>
      <c r="C41" s="109"/>
    </row>
    <row r="42" spans="1:10" ht="16.2" customHeight="1">
      <c r="A42" s="162" t="s">
        <v>1490</v>
      </c>
      <c r="B42" s="62"/>
      <c r="C42" s="109"/>
      <c r="F42" s="702" t="s">
        <v>2520</v>
      </c>
      <c r="G42" s="702"/>
      <c r="H42" s="702"/>
      <c r="I42" s="702"/>
      <c r="J42" s="702"/>
    </row>
    <row r="43" spans="1:10" ht="16.2">
      <c r="A43" t="s">
        <v>58</v>
      </c>
      <c r="B43" s="62"/>
      <c r="C43" s="111">
        <v>0</v>
      </c>
      <c r="F43" s="702"/>
      <c r="G43" s="702"/>
      <c r="H43" s="702"/>
      <c r="I43" s="702"/>
      <c r="J43" s="702"/>
    </row>
    <row r="44" spans="1:10" ht="16.2">
      <c r="A44" t="s">
        <v>1492</v>
      </c>
      <c r="B44" s="62"/>
      <c r="C44" s="111">
        <v>0</v>
      </c>
      <c r="F44" s="702"/>
      <c r="G44" s="702"/>
      <c r="H44" s="702"/>
      <c r="I44" s="702"/>
      <c r="J44" s="702"/>
    </row>
    <row r="45" spans="1:10">
      <c r="A45" t="s">
        <v>56</v>
      </c>
      <c r="B45" s="62"/>
      <c r="C45" s="3">
        <f>+C43+C44</f>
        <v>0</v>
      </c>
      <c r="F45" s="702"/>
      <c r="G45" s="702"/>
      <c r="H45" s="702"/>
      <c r="I45" s="702"/>
      <c r="J45" s="702"/>
    </row>
    <row r="46" spans="1:10" ht="16.2">
      <c r="A46" t="s">
        <v>1491</v>
      </c>
      <c r="B46" s="62"/>
      <c r="C46" s="109"/>
      <c r="F46" s="702"/>
      <c r="G46" s="702"/>
      <c r="H46" s="702"/>
      <c r="I46" s="702"/>
      <c r="J46" s="702"/>
    </row>
    <row r="47" spans="1:10">
      <c r="A47" t="s">
        <v>53</v>
      </c>
      <c r="C47" s="1">
        <v>0</v>
      </c>
      <c r="F47" s="702"/>
      <c r="G47" s="702"/>
      <c r="H47" s="702"/>
      <c r="I47" s="702"/>
      <c r="J47" s="702"/>
    </row>
    <row r="48" spans="1:10" ht="16.2">
      <c r="A48" t="s">
        <v>64</v>
      </c>
      <c r="B48" s="62"/>
      <c r="C48" s="15">
        <f>IF(C47&gt;C45,0,MIN(C45*1,C45-C47))</f>
        <v>0</v>
      </c>
      <c r="F48" s="702"/>
      <c r="G48" s="702"/>
      <c r="H48" s="702"/>
      <c r="I48" s="702"/>
      <c r="J48" s="702"/>
    </row>
    <row r="49" spans="1:21">
      <c r="B49" s="2"/>
    </row>
    <row r="50" spans="1:21" ht="17.399999999999999" customHeight="1">
      <c r="A50" s="10" t="s">
        <v>68</v>
      </c>
      <c r="B50" s="2"/>
      <c r="F50" s="697" t="s">
        <v>2517</v>
      </c>
      <c r="G50" s="698"/>
      <c r="H50" s="698"/>
      <c r="I50" s="698"/>
      <c r="J50" s="699"/>
      <c r="R50" s="506" t="s">
        <v>2400</v>
      </c>
      <c r="S50" s="507"/>
      <c r="T50" s="508"/>
    </row>
    <row r="51" spans="1:21" ht="16.8" customHeight="1">
      <c r="A51" t="s">
        <v>58</v>
      </c>
      <c r="B51" s="2"/>
      <c r="C51" s="28">
        <f>VLOOKUP($F$1,ALLOC!$B$7:$AR$338,26,FALSE)</f>
        <v>0</v>
      </c>
      <c r="F51" s="700"/>
      <c r="G51" s="653"/>
      <c r="H51" s="653"/>
      <c r="I51" s="653"/>
      <c r="J51" s="701"/>
      <c r="R51" s="209">
        <f>VLOOKUP($F$1,ALLOC!$B$7:$AR$338,28,FALSE)</f>
        <v>2502526.42</v>
      </c>
      <c r="S51" s="210"/>
      <c r="T51" s="211"/>
    </row>
    <row r="52" spans="1:21" ht="16.2">
      <c r="A52" t="s">
        <v>53</v>
      </c>
      <c r="B52" s="2"/>
      <c r="C52" s="1">
        <v>0</v>
      </c>
      <c r="F52" s="700"/>
      <c r="G52" s="653"/>
      <c r="H52" s="653"/>
      <c r="I52" s="653"/>
      <c r="J52" s="701"/>
      <c r="R52" s="212">
        <f>ROUND(VLOOKUP($F$1,ALLOC!$B$7:$AR$338,29,FALSE),2)</f>
        <v>238.62</v>
      </c>
      <c r="S52" s="210"/>
      <c r="T52" s="211"/>
    </row>
    <row r="53" spans="1:21" ht="16.2">
      <c r="A53" t="s">
        <v>69</v>
      </c>
      <c r="B53" s="2"/>
      <c r="C53" s="28">
        <f>VLOOKUP($F$1,ALLOC!$B$7:$AR$338,28,FALSE)</f>
        <v>2502526.42</v>
      </c>
      <c r="F53" s="516" t="s">
        <v>2513</v>
      </c>
      <c r="G53" s="517">
        <f>+C54+C64</f>
        <v>366797.89500000002</v>
      </c>
      <c r="H53" s="518" t="s">
        <v>2515</v>
      </c>
      <c r="I53" s="519">
        <v>0</v>
      </c>
      <c r="J53" s="520">
        <f>+G$53*I53</f>
        <v>0</v>
      </c>
      <c r="R53" s="213">
        <f>ROUND(VLOOKUP($F$1,ALLOC!$B$7:$AR$338,30,FALSE),2)</f>
        <v>2247573.6800000002</v>
      </c>
      <c r="S53" s="210"/>
      <c r="T53" s="211"/>
    </row>
    <row r="54" spans="1:21" ht="16.2">
      <c r="A54" t="s">
        <v>1473</v>
      </c>
      <c r="B54" s="2"/>
      <c r="C54" s="509">
        <f>MAX(MIN(C53+C51-C52,C53*0.1),0)</f>
        <v>250252.64199999999</v>
      </c>
      <c r="F54" s="37"/>
      <c r="H54" t="s">
        <v>2516</v>
      </c>
      <c r="I54" s="510">
        <v>0</v>
      </c>
      <c r="J54" s="511">
        <f>+G$53*I54</f>
        <v>0</v>
      </c>
      <c r="R54" s="213">
        <f>IFERROR(ROUND(R53/R52,2),0)</f>
        <v>9419.0499999999993</v>
      </c>
      <c r="S54" s="210"/>
      <c r="T54" s="211"/>
    </row>
    <row r="55" spans="1:21" ht="16.2">
      <c r="A55" t="s">
        <v>1474</v>
      </c>
      <c r="B55" s="2"/>
      <c r="C55" s="76">
        <f>MIN(+C52+C54-C53-C51,0)</f>
        <v>-2252273.7779999999</v>
      </c>
      <c r="F55" s="37"/>
      <c r="H55" t="s">
        <v>2519</v>
      </c>
      <c r="I55" s="510">
        <v>0</v>
      </c>
      <c r="J55" s="511">
        <f>+G$53*I55</f>
        <v>0</v>
      </c>
      <c r="R55" s="213">
        <f>IFERROR(ROUND(R51/R52,2),0)</f>
        <v>10487.5</v>
      </c>
      <c r="S55" s="210"/>
      <c r="T55" s="211"/>
    </row>
    <row r="56" spans="1:21" ht="16.2">
      <c r="A56" s="160" t="s">
        <v>1475</v>
      </c>
      <c r="B56" s="2"/>
      <c r="C56" s="136">
        <f>+R56</f>
        <v>254953.54</v>
      </c>
      <c r="F56" s="41"/>
      <c r="G56" s="222"/>
      <c r="H56" s="222" t="s">
        <v>2518</v>
      </c>
      <c r="I56" s="521">
        <f>SUM(I53:I55)</f>
        <v>0</v>
      </c>
      <c r="J56" s="513">
        <f>SUM(J53:J55)</f>
        <v>0</v>
      </c>
      <c r="R56" s="213">
        <f>ROUND((R55-R54)*R52,2)</f>
        <v>254953.54</v>
      </c>
      <c r="S56" s="214">
        <f>ROUND(VLOOKUP($F$1,ALLOC!$B$7:$AR$338,29,FALSE)*VLOOKUP($F$1,ALLOC!$B$7:$AR$338,33,FALSE),2)</f>
        <v>0</v>
      </c>
      <c r="T56" s="215">
        <f>ROUND(VLOOKUP($F$1,ALLOC!$B$7:$AR$338,32,FALSE)-VLOOKUP($F$1,ALLOC!$B$7:$AR$338,31,FALSE),2)*(VLOOKUP($F$1,ALLOC!$B$7:$AR$338,29,FALSE))</f>
        <v>0</v>
      </c>
      <c r="U56" s="48"/>
    </row>
    <row r="57" spans="1:21" ht="21" customHeight="1" thickBot="1">
      <c r="A57" t="s">
        <v>775</v>
      </c>
      <c r="B57" s="2"/>
      <c r="C57" s="207">
        <f>IF(MAX(C55,-C56)&gt;0,0,MAX(C55,-C56))</f>
        <v>-254953.54</v>
      </c>
      <c r="F57" s="37"/>
      <c r="J57" s="218"/>
      <c r="R57" s="219" t="s">
        <v>1983</v>
      </c>
      <c r="S57" s="217" t="s">
        <v>1981</v>
      </c>
      <c r="T57" s="217" t="s">
        <v>1982</v>
      </c>
    </row>
    <row r="58" spans="1:21" ht="16.8" hidden="1" thickTop="1">
      <c r="A58" t="s">
        <v>1137</v>
      </c>
      <c r="B58" s="2"/>
      <c r="C58" s="15">
        <f>IF(C57&lt;0,0,MAX(MIN(C53+C51-C52,C53*0.1),0))</f>
        <v>0</v>
      </c>
      <c r="F58" s="37"/>
      <c r="J58" s="218"/>
      <c r="R58" s="216"/>
      <c r="S58" s="210"/>
      <c r="T58" s="211"/>
    </row>
    <row r="59" spans="1:21" ht="15" thickTop="1">
      <c r="B59" s="2"/>
      <c r="F59" s="515" t="s">
        <v>2514</v>
      </c>
      <c r="G59" s="514">
        <f>+C57+C67</f>
        <v>-344218.66000000003</v>
      </c>
      <c r="H59" t="s">
        <v>2515</v>
      </c>
      <c r="I59" s="510">
        <v>0</v>
      </c>
      <c r="J59" s="511">
        <f>+G$59*I59</f>
        <v>0</v>
      </c>
      <c r="R59" s="37"/>
      <c r="T59" s="218"/>
    </row>
    <row r="60" spans="1:21">
      <c r="A60" s="10" t="s">
        <v>776</v>
      </c>
      <c r="B60" s="2"/>
      <c r="F60" s="37"/>
      <c r="H60" t="s">
        <v>2516</v>
      </c>
      <c r="I60" s="510">
        <v>0</v>
      </c>
      <c r="J60" s="511">
        <f>+G$59*I60</f>
        <v>0</v>
      </c>
      <c r="R60" s="506" t="s">
        <v>2400</v>
      </c>
      <c r="S60" s="507"/>
      <c r="T60" s="508"/>
    </row>
    <row r="61" spans="1:21">
      <c r="A61" t="s">
        <v>58</v>
      </c>
      <c r="B61" s="2"/>
      <c r="C61" s="28">
        <f>VLOOKUP($F$1,ALLOC!$B$7:$AR$338,25,FALSE)</f>
        <v>0</v>
      </c>
      <c r="F61" s="41"/>
      <c r="G61" s="222"/>
      <c r="H61" s="222" t="s">
        <v>2518</v>
      </c>
      <c r="I61" s="512">
        <f>SUM(I59:I60)</f>
        <v>0</v>
      </c>
      <c r="J61" s="513">
        <f>SUM(J59:J60)</f>
        <v>0</v>
      </c>
      <c r="R61" s="209">
        <f>VLOOKUP($F$1,ALLOC!$B$7:$AR$338,27,FALSE)</f>
        <v>1165452.53</v>
      </c>
      <c r="S61" s="210"/>
      <c r="T61" s="211"/>
    </row>
    <row r="62" spans="1:21" ht="16.2">
      <c r="A62" t="s">
        <v>53</v>
      </c>
      <c r="B62" s="2"/>
      <c r="C62" s="1">
        <v>0</v>
      </c>
      <c r="R62" s="212">
        <f>ROUND(VLOOKUP($F$1,ALLOC!$B$7:$AR$338,34,FALSE),2)</f>
        <v>116.49</v>
      </c>
      <c r="S62" s="210"/>
      <c r="T62" s="211"/>
    </row>
    <row r="63" spans="1:21" ht="16.2">
      <c r="A63" t="s">
        <v>69</v>
      </c>
      <c r="B63" s="2"/>
      <c r="C63" s="28">
        <f>VLOOKUP($F$1,ALLOC!$B$7:$AR$338,27,FALSE)</f>
        <v>1165452.53</v>
      </c>
      <c r="R63" s="213">
        <f>ROUND(VLOOKUP($F$1,ALLOC!$B$7:$AR$338,35,FALSE),2)</f>
        <v>1076187.6200000001</v>
      </c>
      <c r="S63" s="210"/>
      <c r="T63" s="211"/>
    </row>
    <row r="64" spans="1:21" ht="16.2">
      <c r="A64" t="s">
        <v>1473</v>
      </c>
      <c r="B64" s="2"/>
      <c r="C64" s="15">
        <f>MAX(MIN(C63+C61-C62,C63*0.1),0)</f>
        <v>116545.25300000001</v>
      </c>
      <c r="K64" s="249"/>
      <c r="R64" s="213">
        <f>IFERROR(ROUND(R63/R62,2),0)</f>
        <v>9238.4500000000007</v>
      </c>
      <c r="S64" s="210"/>
      <c r="T64" s="211"/>
    </row>
    <row r="65" spans="1:20" ht="16.2">
      <c r="A65" t="s">
        <v>1474</v>
      </c>
      <c r="B65" s="2"/>
      <c r="C65" s="76">
        <f>MIN(+C62+C64-C63-C61,0)</f>
        <v>-1048907.277</v>
      </c>
      <c r="K65" s="249"/>
      <c r="R65" s="213">
        <f>IFERROR(ROUND(R61/R62,2),0)</f>
        <v>10004.74</v>
      </c>
      <c r="S65" s="210"/>
      <c r="T65" s="211"/>
    </row>
    <row r="66" spans="1:20" ht="16.2">
      <c r="A66" s="160" t="s">
        <v>1475</v>
      </c>
      <c r="C66" s="136">
        <f>+R66</f>
        <v>89265.12</v>
      </c>
      <c r="R66" s="213">
        <f>ROUND((R65-R64)*R62,2)</f>
        <v>89265.12</v>
      </c>
      <c r="S66" s="214">
        <f>ROUND(VLOOKUP($F$1,ALLOC!$B$7:$AR$338,34,FALSE)*VLOOKUP($F$1,ALLOC!$B$7:$AR$338,38,FALSE),2)</f>
        <v>0</v>
      </c>
      <c r="T66" s="215">
        <f>ROUND(VLOOKUP($F$1,ALLOC!$B$7:$AR$338,37,FALSE)-VLOOKUP($F$1,ALLOC!$B$7:$AR$338,36,FALSE),2)*(VLOOKUP($F$1,ALLOC!$B$7:$AR$338,34,FALSE))</f>
        <v>0</v>
      </c>
    </row>
    <row r="67" spans="1:20" ht="18.600000000000001" customHeight="1" thickBot="1">
      <c r="A67" s="33" t="s">
        <v>775</v>
      </c>
      <c r="B67" s="208"/>
      <c r="C67" s="207">
        <f>IF(MAX(C65,-C66)&gt;0,0,MAX(C65,-C66))</f>
        <v>-89265.12</v>
      </c>
      <c r="R67" s="219" t="s">
        <v>1983</v>
      </c>
      <c r="S67" s="217" t="s">
        <v>1981</v>
      </c>
      <c r="T67" s="217" t="s">
        <v>1982</v>
      </c>
    </row>
    <row r="68" spans="1:20" ht="16.8" hidden="1" thickTop="1">
      <c r="A68" t="s">
        <v>1137</v>
      </c>
      <c r="B68" s="2"/>
      <c r="C68" s="15">
        <f>IF(C67&lt;0,0,MAX(MIN(C63+C61-C62,C63*0.1),0))</f>
        <v>0</v>
      </c>
    </row>
    <row r="69" spans="1:20" ht="15" thickTop="1">
      <c r="B69" s="2"/>
    </row>
    <row r="70" spans="1:20">
      <c r="A70" s="10" t="s">
        <v>65</v>
      </c>
      <c r="B70" s="2"/>
    </row>
    <row r="71" spans="1:20">
      <c r="A71" t="s">
        <v>58</v>
      </c>
      <c r="B71" s="2"/>
      <c r="C71" s="28">
        <f>VLOOKUP($F$1,ALLOC!$B$7:$AR$338,4,FALSE)</f>
        <v>0</v>
      </c>
    </row>
    <row r="72" spans="1:20">
      <c r="A72" t="s">
        <v>55</v>
      </c>
      <c r="B72" s="2"/>
      <c r="C72" s="28">
        <f>VLOOKUP($F$1,ALLOC!$B$7:$AR$338,9,FALSE)</f>
        <v>1495847.45</v>
      </c>
    </row>
    <row r="73" spans="1:20">
      <c r="A73" t="s">
        <v>56</v>
      </c>
      <c r="B73" s="2"/>
      <c r="C73" s="3">
        <f>C71+C72</f>
        <v>1495847.45</v>
      </c>
    </row>
    <row r="74" spans="1:20">
      <c r="A74" t="s">
        <v>57</v>
      </c>
      <c r="B74" s="2"/>
    </row>
    <row r="75" spans="1:20">
      <c r="A75" t="s">
        <v>53</v>
      </c>
      <c r="B75" s="1">
        <v>0</v>
      </c>
    </row>
    <row r="76" spans="1:20">
      <c r="A76" t="s">
        <v>60</v>
      </c>
      <c r="B76" s="2">
        <f>B75*B6</f>
        <v>0</v>
      </c>
      <c r="C76" s="2">
        <f>B75+B76</f>
        <v>0</v>
      </c>
    </row>
    <row r="77" spans="1:20" ht="16.2">
      <c r="A77" t="s">
        <v>64</v>
      </c>
      <c r="B77" s="2"/>
      <c r="C77" s="15">
        <f>IF(C76&gt;C73,0,MIN(C72*0.1,C73-C76))</f>
        <v>149584.745</v>
      </c>
    </row>
    <row r="78" spans="1:20" ht="16.2">
      <c r="A78" t="s">
        <v>775</v>
      </c>
      <c r="B78" s="2"/>
      <c r="C78" s="27">
        <f>IF(C76&gt;C73,0,+C76-C71+C77-C72)</f>
        <v>-1346262.7050000001</v>
      </c>
    </row>
    <row r="79" spans="1:20">
      <c r="B79" s="2"/>
    </row>
    <row r="80" spans="1:20">
      <c r="A80" s="10" t="s">
        <v>1504</v>
      </c>
      <c r="B80" s="2"/>
    </row>
    <row r="81" spans="1:3">
      <c r="A81" t="s">
        <v>58</v>
      </c>
      <c r="B81" s="2"/>
      <c r="C81" s="28">
        <f>VLOOKUP($F$1,ALLOC!$B$7:$AR$338,5,FALSE)</f>
        <v>33274.85</v>
      </c>
    </row>
    <row r="82" spans="1:3">
      <c r="A82" t="s">
        <v>55</v>
      </c>
      <c r="B82" s="2"/>
      <c r="C82" s="28">
        <f>VLOOKUP($F$1,ALLOC!$B$7:$AR$338,8,FALSE)</f>
        <v>985846.72</v>
      </c>
    </row>
    <row r="83" spans="1:3">
      <c r="A83" t="s">
        <v>56</v>
      </c>
      <c r="B83" s="2"/>
      <c r="C83" s="3">
        <f>C81+C82</f>
        <v>1019121.57</v>
      </c>
    </row>
    <row r="84" spans="1:3">
      <c r="A84" t="s">
        <v>57</v>
      </c>
      <c r="B84" s="2"/>
    </row>
    <row r="85" spans="1:3">
      <c r="A85" t="s">
        <v>53</v>
      </c>
      <c r="B85" s="1">
        <v>0</v>
      </c>
    </row>
    <row r="86" spans="1:3">
      <c r="A86" t="s">
        <v>60</v>
      </c>
      <c r="B86" s="2">
        <f>B85*B6</f>
        <v>0</v>
      </c>
      <c r="C86" s="2">
        <f>B85+B86</f>
        <v>0</v>
      </c>
    </row>
    <row r="87" spans="1:3" ht="16.2">
      <c r="A87" t="s">
        <v>64</v>
      </c>
      <c r="B87" s="2"/>
      <c r="C87" s="15">
        <f>IF(C86&gt;C83,0,MIN(C82*0.1,C83-C86))</f>
        <v>98584.672000000006</v>
      </c>
    </row>
    <row r="88" spans="1:3" ht="16.2">
      <c r="A88" t="s">
        <v>775</v>
      </c>
      <c r="B88" s="2"/>
      <c r="C88" s="27">
        <f>IF(C86&gt;C83,0,+C86-C81+C87-C82)</f>
        <v>-920536.89799999993</v>
      </c>
    </row>
    <row r="89" spans="1:3">
      <c r="B89" s="2"/>
    </row>
    <row r="90" spans="1:3">
      <c r="A90" s="10" t="s">
        <v>1505</v>
      </c>
      <c r="B90" s="2"/>
      <c r="C90" s="115">
        <f>+C87+C77</f>
        <v>248169.41700000002</v>
      </c>
    </row>
    <row r="91" spans="1:3">
      <c r="A91" s="10" t="s">
        <v>1524</v>
      </c>
      <c r="B91" s="2"/>
      <c r="C91" s="137">
        <f>+C78+C88</f>
        <v>-2266799.6030000001</v>
      </c>
    </row>
    <row r="92" spans="1:3">
      <c r="B92" s="2"/>
    </row>
    <row r="93" spans="1:3">
      <c r="B93" s="2"/>
    </row>
    <row r="94" spans="1:3">
      <c r="A94" s="10" t="s">
        <v>71</v>
      </c>
    </row>
    <row r="95" spans="1:3">
      <c r="A95" t="s">
        <v>58</v>
      </c>
      <c r="B95" s="2"/>
      <c r="C95" s="28">
        <f>VLOOKUP($F$1,ALLOC!$B$7:$AR$338,19,FALSE)</f>
        <v>0</v>
      </c>
    </row>
    <row r="96" spans="1:3">
      <c r="A96" t="s">
        <v>55</v>
      </c>
      <c r="B96" s="2"/>
      <c r="C96" s="28">
        <f>VLOOKUP($F$1,ALLOC!$B$7:$AR$338,18,FALSE)</f>
        <v>226761.03</v>
      </c>
    </row>
    <row r="97" spans="1:3">
      <c r="A97" t="s">
        <v>56</v>
      </c>
      <c r="B97" s="2"/>
      <c r="C97" s="3">
        <f>+C95+C96</f>
        <v>226761.03</v>
      </c>
    </row>
    <row r="98" spans="1:3">
      <c r="A98" t="s">
        <v>57</v>
      </c>
      <c r="B98" s="2"/>
    </row>
    <row r="99" spans="1:3">
      <c r="A99" t="s">
        <v>53</v>
      </c>
      <c r="B99" s="1">
        <v>0</v>
      </c>
    </row>
    <row r="100" spans="1:3">
      <c r="A100" s="160" t="s">
        <v>60</v>
      </c>
      <c r="B100" s="28">
        <f>VLOOKUP($F$1,ALLOC!$B$7:$AR$338,20,FALSE)</f>
        <v>7257.49</v>
      </c>
      <c r="C100" s="2">
        <f>B99+B100</f>
        <v>7257.49</v>
      </c>
    </row>
    <row r="101" spans="1:3" ht="16.2">
      <c r="A101" t="s">
        <v>64</v>
      </c>
      <c r="B101" s="2"/>
      <c r="C101" s="15">
        <f>IF(C100&gt;C97,0,MIN(C96*0.1,C97-C100))</f>
        <v>22676.103000000003</v>
      </c>
    </row>
    <row r="102" spans="1:3" ht="16.2">
      <c r="A102" t="s">
        <v>775</v>
      </c>
      <c r="B102" s="2"/>
      <c r="C102" s="29">
        <f>MIN(C96,C100-C95)+C101-C96</f>
        <v>-196827.43700000001</v>
      </c>
    </row>
    <row r="104" spans="1:3">
      <c r="A104" s="10" t="s">
        <v>777</v>
      </c>
    </row>
    <row r="105" spans="1:3">
      <c r="A105" t="s">
        <v>58</v>
      </c>
      <c r="B105" s="2"/>
      <c r="C105" s="28">
        <f>VLOOKUP($F$1,ALLOC!$B$7:$AR$338,16,FALSE)</f>
        <v>0</v>
      </c>
    </row>
    <row r="106" spans="1:3">
      <c r="A106" t="s">
        <v>55</v>
      </c>
      <c r="B106" s="2"/>
      <c r="C106" s="28">
        <f>VLOOKUP($F$1,ALLOC!$B$7:$AR$338,15,FALSE)</f>
        <v>0</v>
      </c>
    </row>
    <row r="107" spans="1:3">
      <c r="A107" t="s">
        <v>56</v>
      </c>
      <c r="B107" s="2"/>
      <c r="C107" s="3">
        <f>+C105+C106</f>
        <v>0</v>
      </c>
    </row>
    <row r="108" spans="1:3">
      <c r="A108" t="s">
        <v>57</v>
      </c>
      <c r="B108" s="2"/>
    </row>
    <row r="109" spans="1:3">
      <c r="A109" t="s">
        <v>53</v>
      </c>
      <c r="B109" s="1">
        <v>0</v>
      </c>
    </row>
    <row r="110" spans="1:3">
      <c r="A110" s="160" t="s">
        <v>60</v>
      </c>
      <c r="B110" s="28">
        <f>VLOOKUP($F$1,ALLOC!$B$7:$AR$338,17,FALSE)</f>
        <v>0</v>
      </c>
      <c r="C110" s="2">
        <f>B109+B110</f>
        <v>0</v>
      </c>
    </row>
    <row r="111" spans="1:3" ht="16.2">
      <c r="A111" t="s">
        <v>64</v>
      </c>
      <c r="B111" s="2"/>
      <c r="C111" s="15">
        <f>IF(C110&gt;C107,0,MIN(C106*0.1,C107-C110))</f>
        <v>0</v>
      </c>
    </row>
    <row r="112" spans="1:3" ht="16.2">
      <c r="A112" t="s">
        <v>775</v>
      </c>
      <c r="B112" s="2"/>
      <c r="C112" s="29">
        <f>MIN(C106,C110-C105)+C111-C106</f>
        <v>0</v>
      </c>
    </row>
    <row r="114" spans="1:3">
      <c r="A114" s="10" t="s">
        <v>783</v>
      </c>
    </row>
    <row r="115" spans="1:3">
      <c r="A115" t="s">
        <v>779</v>
      </c>
      <c r="C115" s="28">
        <f>VLOOKUP($F$1,ALLOC!$B$7:$AR$338,10,FALSE)</f>
        <v>813199.41</v>
      </c>
    </row>
    <row r="116" spans="1:3">
      <c r="A116" t="s">
        <v>53</v>
      </c>
      <c r="B116" s="1">
        <v>0</v>
      </c>
    </row>
    <row r="117" spans="1:3">
      <c r="A117" t="s">
        <v>60</v>
      </c>
      <c r="B117" s="5">
        <f>B116*B5</f>
        <v>0</v>
      </c>
      <c r="C117" s="2">
        <f>+B116+B117</f>
        <v>0</v>
      </c>
    </row>
    <row r="118" spans="1:3" ht="16.2">
      <c r="A118" t="s">
        <v>775</v>
      </c>
      <c r="C118" s="30">
        <f>MIN(C115,C117)-C115</f>
        <v>-813199.41</v>
      </c>
    </row>
    <row r="120" spans="1:3">
      <c r="A120" s="10" t="s">
        <v>778</v>
      </c>
    </row>
    <row r="121" spans="1:3">
      <c r="A121" t="s">
        <v>779</v>
      </c>
      <c r="C121" s="28">
        <f>VLOOKUP($F$1,ALLOC!$B$7:$AR$338,11,FALSE)</f>
        <v>95942.93</v>
      </c>
    </row>
    <row r="122" spans="1:3">
      <c r="A122" t="s">
        <v>53</v>
      </c>
      <c r="B122" s="1">
        <v>0</v>
      </c>
    </row>
    <row r="123" spans="1:3">
      <c r="A123" t="s">
        <v>60</v>
      </c>
      <c r="B123" s="5">
        <f>B122*B5</f>
        <v>0</v>
      </c>
      <c r="C123" s="2">
        <f>+B122+B123</f>
        <v>0</v>
      </c>
    </row>
    <row r="124" spans="1:3" ht="16.2">
      <c r="A124" t="s">
        <v>775</v>
      </c>
      <c r="C124" s="30">
        <f>MIN(C121,C123)-C121</f>
        <v>-95942.93</v>
      </c>
    </row>
    <row r="127" spans="1:3">
      <c r="A127" s="10" t="s">
        <v>780</v>
      </c>
    </row>
    <row r="128" spans="1:3">
      <c r="A128" t="s">
        <v>1566</v>
      </c>
      <c r="C128" s="138">
        <f>VLOOKUP($F$1,ALLOC!$B$7:$AR$338,12,FALSE)</f>
        <v>1725148.67</v>
      </c>
    </row>
    <row r="129" spans="1:6">
      <c r="A129" t="s">
        <v>1604</v>
      </c>
      <c r="C129" s="138">
        <f>VLOOKUP($F$1,ALLOC!$B$7:$AR$338,41,FALSE)</f>
        <v>0</v>
      </c>
      <c r="F129" s="5"/>
    </row>
    <row r="130" spans="1:6">
      <c r="A130" t="s">
        <v>53</v>
      </c>
      <c r="B130" s="1">
        <v>0</v>
      </c>
    </row>
    <row r="131" spans="1:6">
      <c r="A131" t="s">
        <v>1526</v>
      </c>
      <c r="B131" s="5">
        <f>B130*B5</f>
        <v>0</v>
      </c>
      <c r="C131" s="2">
        <f>+B130+B131</f>
        <v>0</v>
      </c>
    </row>
    <row r="132" spans="1:6">
      <c r="A132" t="s">
        <v>781</v>
      </c>
      <c r="C132" s="1">
        <v>0</v>
      </c>
    </row>
    <row r="133" spans="1:6">
      <c r="A133" t="s">
        <v>1513</v>
      </c>
      <c r="C133" s="2">
        <f>C131+-C132</f>
        <v>0</v>
      </c>
      <c r="F133" s="5"/>
    </row>
    <row r="134" spans="1:6">
      <c r="A134" t="s">
        <v>1567</v>
      </c>
      <c r="C134" s="163">
        <f>MIN(C128+C129,C133)</f>
        <v>0</v>
      </c>
    </row>
    <row r="135" spans="1:6" ht="15" thickBot="1">
      <c r="A135" t="s">
        <v>1527</v>
      </c>
      <c r="C135" s="140">
        <f>((C128+C129)-C134)*-1</f>
        <v>-1725148.67</v>
      </c>
      <c r="F135" s="5"/>
    </row>
    <row r="136" spans="1:6" ht="15" thickTop="1">
      <c r="A136" t="s">
        <v>1133</v>
      </c>
      <c r="C136" s="64">
        <f>B130*(1+B6)</f>
        <v>0</v>
      </c>
    </row>
    <row r="138" spans="1:6">
      <c r="A138" s="10" t="s">
        <v>1140</v>
      </c>
    </row>
    <row r="139" spans="1:6">
      <c r="A139" t="s">
        <v>1141</v>
      </c>
      <c r="C139" s="28">
        <f>VLOOKUP($F$1,ALLOC!$B$7:$AR$338,24,FALSE)</f>
        <v>2462.2600000000002</v>
      </c>
    </row>
    <row r="140" spans="1:6">
      <c r="A140" t="s">
        <v>1142</v>
      </c>
      <c r="C140" s="1">
        <v>0</v>
      </c>
    </row>
    <row r="141" spans="1:6" ht="16.2">
      <c r="A141" t="s">
        <v>775</v>
      </c>
      <c r="C141" s="30">
        <f>-C139+C140</f>
        <v>-2462.2600000000002</v>
      </c>
    </row>
    <row r="143" spans="1:6">
      <c r="A143" s="7" t="s">
        <v>788</v>
      </c>
    </row>
    <row r="144" spans="1:6">
      <c r="A144" s="112" t="s">
        <v>1544</v>
      </c>
      <c r="C144" s="110">
        <f>C16</f>
        <v>353454.04000000004</v>
      </c>
    </row>
    <row r="145" spans="1:6">
      <c r="A145" s="11" t="s">
        <v>73</v>
      </c>
      <c r="C145" s="2">
        <f>C29</f>
        <v>803734.78899999999</v>
      </c>
    </row>
    <row r="146" spans="1:6">
      <c r="A146" s="11" t="s">
        <v>76</v>
      </c>
      <c r="C146" s="2">
        <f>C39</f>
        <v>0</v>
      </c>
    </row>
    <row r="147" spans="1:6">
      <c r="A147" s="112" t="s">
        <v>1489</v>
      </c>
      <c r="C147" s="110">
        <f>C48</f>
        <v>0</v>
      </c>
    </row>
    <row r="148" spans="1:6" s="203" customFormat="1">
      <c r="A148" s="204" t="s">
        <v>75</v>
      </c>
      <c r="C148" s="205">
        <f>C54</f>
        <v>250252.64199999999</v>
      </c>
    </row>
    <row r="149" spans="1:6" s="203" customFormat="1">
      <c r="A149" s="204" t="s">
        <v>786</v>
      </c>
      <c r="C149" s="205">
        <f>C64</f>
        <v>116545.25300000001</v>
      </c>
    </row>
    <row r="150" spans="1:6">
      <c r="A150" s="11" t="s">
        <v>74</v>
      </c>
      <c r="C150" s="2">
        <f>C77</f>
        <v>149584.745</v>
      </c>
    </row>
    <row r="151" spans="1:6">
      <c r="A151" s="112" t="s">
        <v>1506</v>
      </c>
      <c r="C151" s="2">
        <f>C87</f>
        <v>98584.672000000006</v>
      </c>
    </row>
    <row r="152" spans="1:6">
      <c r="A152" s="11" t="s">
        <v>77</v>
      </c>
      <c r="C152" s="2">
        <f>C101</f>
        <v>22676.103000000003</v>
      </c>
    </row>
    <row r="153" spans="1:6">
      <c r="A153" s="11" t="s">
        <v>787</v>
      </c>
      <c r="C153" s="2">
        <f>C111</f>
        <v>0</v>
      </c>
    </row>
    <row r="154" spans="1:6">
      <c r="A154" s="7" t="s">
        <v>78</v>
      </c>
      <c r="C154" s="16">
        <f>SUM(C144:C153)</f>
        <v>1794832.2439999999</v>
      </c>
      <c r="F154" s="5"/>
    </row>
    <row r="157" spans="1:6">
      <c r="A157" s="683" t="s">
        <v>774</v>
      </c>
      <c r="B157" s="684"/>
      <c r="C157" s="685"/>
    </row>
    <row r="158" spans="1:6">
      <c r="A158" s="11" t="s">
        <v>789</v>
      </c>
      <c r="C158" s="2">
        <f>C30</f>
        <v>-8735669.8163159993</v>
      </c>
      <c r="D158" s="5"/>
    </row>
    <row r="159" spans="1:6">
      <c r="A159" s="11" t="s">
        <v>790</v>
      </c>
      <c r="C159" s="2">
        <f>C40</f>
        <v>0</v>
      </c>
    </row>
    <row r="160" spans="1:6">
      <c r="A160" s="11" t="s">
        <v>791</v>
      </c>
      <c r="C160" s="2">
        <f>C57</f>
        <v>-254953.54</v>
      </c>
      <c r="D160" s="5"/>
    </row>
    <row r="161" spans="1:6">
      <c r="A161" s="11" t="s">
        <v>792</v>
      </c>
      <c r="C161" s="2">
        <f>C67</f>
        <v>-89265.12</v>
      </c>
      <c r="D161" s="5"/>
    </row>
    <row r="162" spans="1:6">
      <c r="A162" s="11" t="s">
        <v>793</v>
      </c>
      <c r="C162" s="2">
        <f>C91</f>
        <v>-2266799.6030000001</v>
      </c>
      <c r="D162" s="5"/>
      <c r="F162" s="5"/>
    </row>
    <row r="163" spans="1:6">
      <c r="A163" s="11" t="s">
        <v>794</v>
      </c>
      <c r="C163" s="2">
        <f>C102</f>
        <v>-196827.43700000001</v>
      </c>
      <c r="D163" s="5"/>
    </row>
    <row r="164" spans="1:6">
      <c r="A164" s="11" t="s">
        <v>795</v>
      </c>
      <c r="C164" s="2">
        <f>C112</f>
        <v>0</v>
      </c>
    </row>
    <row r="165" spans="1:6">
      <c r="A165" s="11" t="s">
        <v>784</v>
      </c>
      <c r="C165" s="2">
        <f>C118</f>
        <v>-813199.41</v>
      </c>
    </row>
    <row r="166" spans="1:6">
      <c r="A166" s="11" t="s">
        <v>782</v>
      </c>
      <c r="C166" s="2">
        <f>C124</f>
        <v>-95942.93</v>
      </c>
    </row>
    <row r="167" spans="1:6">
      <c r="A167" s="11" t="s">
        <v>785</v>
      </c>
      <c r="C167" s="2">
        <f>C135</f>
        <v>-1725148.67</v>
      </c>
    </row>
    <row r="168" spans="1:6">
      <c r="A168" s="11" t="s">
        <v>1139</v>
      </c>
      <c r="C168" s="2">
        <f>IF(C141&lt;0,C141,0)</f>
        <v>-2462.2600000000002</v>
      </c>
    </row>
    <row r="169" spans="1:6">
      <c r="A169" s="31" t="s">
        <v>796</v>
      </c>
      <c r="C169" s="16">
        <f>IF(VLOOKUP($F$1,CCDDD!$D$2:$G$331,4,FALSE)="Cash",-SUM('GL 821 Restricted'!C158:C168),0)</f>
        <v>0</v>
      </c>
    </row>
    <row r="171" spans="1:6" ht="16.2">
      <c r="A171" s="11" t="s">
        <v>797</v>
      </c>
      <c r="C171" s="32">
        <f>C154+C169</f>
        <v>1794832.2439999999</v>
      </c>
    </row>
    <row r="173" spans="1:6" ht="30.75" customHeight="1">
      <c r="A173" s="686" t="s">
        <v>1980</v>
      </c>
      <c r="B173" s="687"/>
      <c r="C173" s="206">
        <f>IF(C169=0,ABS(SUM(C158:C168)),0)</f>
        <v>14180268.786315998</v>
      </c>
    </row>
    <row r="174" spans="1:6">
      <c r="A174" s="6" t="s">
        <v>809</v>
      </c>
    </row>
  </sheetData>
  <mergeCells count="7">
    <mergeCell ref="A1:C1"/>
    <mergeCell ref="A2:C2"/>
    <mergeCell ref="A157:C157"/>
    <mergeCell ref="A173:B173"/>
    <mergeCell ref="E10:G17"/>
    <mergeCell ref="F50:J52"/>
    <mergeCell ref="F42:J48"/>
  </mergeCells>
  <conditionalFormatting sqref="I56">
    <cfRule type="cellIs" dxfId="45" priority="3" operator="lessThan">
      <formula>1</formula>
    </cfRule>
    <cfRule type="cellIs" dxfId="44" priority="4" operator="greaterThan">
      <formula>1</formula>
    </cfRule>
  </conditionalFormatting>
  <conditionalFormatting sqref="I61">
    <cfRule type="cellIs" dxfId="43" priority="1" operator="lessThan">
      <formula>1</formula>
    </cfRule>
    <cfRule type="cellIs" dxfId="42" priority="2" operator="greaterThan">
      <formula>1</formula>
    </cfRule>
  </conditionalFormatting>
  <hyperlinks>
    <hyperlink ref="A3" location="'Fund Balance Summary'!A1" display="(Return to summary sheet)" xr:uid="{00000000-0004-0000-0800-000000000000}"/>
    <hyperlink ref="A174" location="'Journal Entries'!A1" display="(Click here for sample journal entries relating to recovery.)" xr:uid="{00000000-0004-0000-0800-000001000000}"/>
  </hyperlinks>
  <pageMargins left="0.7" right="0.7" top="0.75" bottom="0.75" header="0.3" footer="0.3"/>
  <pageSetup orientation="landscape"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C9F49-5A9E-41B5-90D2-81B5779FF5BC}">
  <sheetPr>
    <tabColor rgb="FF66FF33"/>
  </sheetPr>
  <dimension ref="A1:R335"/>
  <sheetViews>
    <sheetView workbookViewId="0">
      <pane xSplit="2" ySplit="3" topLeftCell="E4" activePane="bottomRight" state="frozen"/>
      <selection pane="topRight" activeCell="C1" sqref="C1"/>
      <selection pane="bottomLeft" activeCell="A4" sqref="A4"/>
      <selection pane="bottomRight" activeCell="M10" sqref="M10"/>
    </sheetView>
  </sheetViews>
  <sheetFormatPr defaultRowHeight="14.4"/>
  <cols>
    <col min="2" max="2" width="39" bestFit="1" customWidth="1"/>
    <col min="3" max="3" width="13.44140625" bestFit="1" customWidth="1"/>
    <col min="4" max="5" width="12.33203125" bestFit="1" customWidth="1"/>
    <col min="6" max="6" width="10.44140625" customWidth="1"/>
    <col min="7" max="7" width="11.44140625" bestFit="1" customWidth="1"/>
    <col min="8" max="8" width="12.33203125" bestFit="1" customWidth="1"/>
    <col min="9" max="9" width="13.21875" bestFit="1" customWidth="1"/>
    <col min="10" max="10" width="12.33203125" bestFit="1" customWidth="1"/>
    <col min="11" max="12" width="10.88671875" bestFit="1" customWidth="1"/>
    <col min="13" max="13" width="5" customWidth="1"/>
    <col min="14" max="14" width="14.88671875" bestFit="1" customWidth="1"/>
    <col min="15" max="16" width="5" customWidth="1"/>
    <col min="17" max="17" width="7.21875" bestFit="1" customWidth="1"/>
    <col min="18" max="18" width="14.44140625" bestFit="1" customWidth="1"/>
  </cols>
  <sheetData>
    <row r="1" spans="1:18">
      <c r="C1" t="s">
        <v>2656</v>
      </c>
    </row>
    <row r="2" spans="1:18">
      <c r="B2" t="s">
        <v>2657</v>
      </c>
      <c r="C2" s="48" t="s">
        <v>2658</v>
      </c>
      <c r="D2" s="48"/>
      <c r="E2" s="48"/>
      <c r="F2" s="48"/>
      <c r="G2" s="48"/>
      <c r="H2" s="48"/>
      <c r="I2" s="48"/>
      <c r="J2" s="48"/>
      <c r="K2" s="48"/>
      <c r="L2" s="48"/>
      <c r="M2" s="48"/>
      <c r="N2" s="48"/>
      <c r="O2" s="48"/>
      <c r="P2" s="48"/>
      <c r="Q2" s="48"/>
      <c r="R2" s="48"/>
    </row>
    <row r="3" spans="1:18">
      <c r="B3" s="613" t="s">
        <v>2659</v>
      </c>
      <c r="C3" s="614" t="s">
        <v>2660</v>
      </c>
      <c r="D3" s="614" t="s">
        <v>2661</v>
      </c>
      <c r="E3" s="614" t="s">
        <v>2662</v>
      </c>
      <c r="F3" s="614" t="s">
        <v>2663</v>
      </c>
      <c r="G3" s="615" t="s">
        <v>2664</v>
      </c>
      <c r="H3" s="615" t="s">
        <v>2665</v>
      </c>
      <c r="I3" s="616" t="s">
        <v>2666</v>
      </c>
      <c r="J3" s="615" t="s">
        <v>2667</v>
      </c>
      <c r="K3" s="615" t="s">
        <v>2668</v>
      </c>
      <c r="L3" s="617" t="s">
        <v>2669</v>
      </c>
      <c r="M3" s="48"/>
      <c r="N3" s="48"/>
      <c r="O3" s="48"/>
      <c r="P3" s="48"/>
      <c r="Q3" s="48"/>
      <c r="R3" s="618" t="s">
        <v>2670</v>
      </c>
    </row>
    <row r="4" spans="1:18" ht="20.399999999999999">
      <c r="A4" s="47" t="s">
        <v>79</v>
      </c>
      <c r="B4" s="47" t="s">
        <v>2388</v>
      </c>
      <c r="C4" s="619" t="s">
        <v>1979</v>
      </c>
      <c r="D4" s="620" t="s">
        <v>2573</v>
      </c>
      <c r="E4" s="620" t="s">
        <v>2574</v>
      </c>
      <c r="F4" s="620" t="s">
        <v>2575</v>
      </c>
      <c r="G4" s="619" t="s">
        <v>1978</v>
      </c>
      <c r="H4" s="619" t="s">
        <v>1975</v>
      </c>
      <c r="I4" s="619" t="s">
        <v>2389</v>
      </c>
      <c r="J4" s="619" t="s">
        <v>1976</v>
      </c>
      <c r="K4" s="619" t="s">
        <v>1977</v>
      </c>
      <c r="L4" s="620" t="s">
        <v>2576</v>
      </c>
      <c r="M4" s="621"/>
      <c r="N4" s="622" t="s">
        <v>1658</v>
      </c>
      <c r="O4" s="621"/>
      <c r="P4" s="621"/>
      <c r="Q4" s="621"/>
      <c r="R4" s="623" t="s">
        <v>2671</v>
      </c>
    </row>
    <row r="5" spans="1:18">
      <c r="A5" s="222"/>
      <c r="B5" s="222" t="s">
        <v>2390</v>
      </c>
      <c r="C5" s="624">
        <f t="shared" ref="C5:L5" si="0">SUM(C6:C335)</f>
        <v>87623329.929999948</v>
      </c>
      <c r="D5" s="624">
        <f t="shared" si="0"/>
        <v>6002691.4999999981</v>
      </c>
      <c r="E5" s="624">
        <f t="shared" si="0"/>
        <v>1416041.7200000007</v>
      </c>
      <c r="F5" s="624">
        <f t="shared" si="0"/>
        <v>795623.06</v>
      </c>
      <c r="G5" s="624">
        <f t="shared" si="0"/>
        <v>29522.720000000001</v>
      </c>
      <c r="H5" s="624">
        <f t="shared" si="0"/>
        <v>5490699.6600000001</v>
      </c>
      <c r="I5" s="624">
        <f t="shared" si="0"/>
        <v>2339985.85</v>
      </c>
      <c r="J5" s="624">
        <f t="shared" si="0"/>
        <v>4305862.4699999969</v>
      </c>
      <c r="K5" s="624">
        <f t="shared" si="0"/>
        <v>509833.27999999985</v>
      </c>
      <c r="L5" s="624">
        <f t="shared" si="0"/>
        <v>871020.85000000021</v>
      </c>
      <c r="M5" s="48"/>
      <c r="N5" s="625">
        <f t="shared" ref="N5:N68" si="1">SUM(C5:M5)</f>
        <v>109384611.03999993</v>
      </c>
      <c r="O5" s="626"/>
      <c r="P5" s="626"/>
      <c r="Q5" s="626"/>
      <c r="R5" s="624">
        <f>SUM(R6:R335)</f>
        <v>109384611.04000001</v>
      </c>
    </row>
    <row r="6" spans="1:18">
      <c r="A6" t="s">
        <v>297</v>
      </c>
      <c r="B6" t="s">
        <v>1728</v>
      </c>
      <c r="C6" s="48">
        <v>207182.73</v>
      </c>
      <c r="D6" s="48">
        <v>20632.400000000001</v>
      </c>
      <c r="E6" s="48">
        <v>10071.84</v>
      </c>
      <c r="F6" s="48">
        <v>6427.29</v>
      </c>
      <c r="G6" s="48">
        <v>86.75</v>
      </c>
      <c r="H6" s="48">
        <v>20863.650000000001</v>
      </c>
      <c r="I6" s="48">
        <v>13750.31</v>
      </c>
      <c r="J6" s="48">
        <v>11500.99</v>
      </c>
      <c r="K6" s="48">
        <v>1338.19</v>
      </c>
      <c r="L6" s="48">
        <v>0</v>
      </c>
      <c r="M6" s="48"/>
      <c r="N6" s="48">
        <f t="shared" si="1"/>
        <v>291854.15000000002</v>
      </c>
      <c r="O6" s="48"/>
      <c r="P6" s="48"/>
      <c r="Q6" s="48" t="str">
        <f t="shared" ref="Q6:Q69" si="2">TEXT(A6, "00000")</f>
        <v>14005</v>
      </c>
      <c r="R6" s="48">
        <f t="shared" ref="R6:R69" si="3">N6</f>
        <v>291854.15000000002</v>
      </c>
    </row>
    <row r="7" spans="1:18">
      <c r="A7" t="s">
        <v>424</v>
      </c>
      <c r="B7" t="s">
        <v>1795</v>
      </c>
      <c r="C7" s="48">
        <v>53598.55</v>
      </c>
      <c r="D7" s="48">
        <v>4287.37</v>
      </c>
      <c r="E7" s="48">
        <v>936.36</v>
      </c>
      <c r="F7" s="48">
        <v>0</v>
      </c>
      <c r="G7" s="48">
        <v>90.96</v>
      </c>
      <c r="H7" s="48">
        <v>1582.52</v>
      </c>
      <c r="I7" s="48">
        <v>0</v>
      </c>
      <c r="J7" s="48">
        <v>0</v>
      </c>
      <c r="K7" s="48">
        <v>293.41000000000003</v>
      </c>
      <c r="L7" s="48">
        <v>0</v>
      </c>
      <c r="M7" s="48"/>
      <c r="N7" s="48">
        <f t="shared" si="1"/>
        <v>60789.170000000006</v>
      </c>
      <c r="O7" s="48"/>
      <c r="P7" s="48"/>
      <c r="Q7" s="48" t="str">
        <f t="shared" si="2"/>
        <v>21226</v>
      </c>
      <c r="R7" s="48">
        <f t="shared" si="3"/>
        <v>60789.170000000006</v>
      </c>
    </row>
    <row r="8" spans="1:18">
      <c r="A8" t="s">
        <v>446</v>
      </c>
      <c r="B8" t="s">
        <v>1806</v>
      </c>
      <c r="C8" s="48">
        <v>19918.599999999999</v>
      </c>
      <c r="D8" s="48">
        <v>667.55</v>
      </c>
      <c r="E8" s="48">
        <v>81.709999999999994</v>
      </c>
      <c r="F8" s="48">
        <v>0</v>
      </c>
      <c r="G8" s="48">
        <v>86.02</v>
      </c>
      <c r="H8" s="48">
        <v>450.17</v>
      </c>
      <c r="I8" s="48">
        <v>0</v>
      </c>
      <c r="J8" s="48">
        <v>0</v>
      </c>
      <c r="K8" s="48">
        <v>46.25</v>
      </c>
      <c r="L8" s="48">
        <v>0</v>
      </c>
      <c r="M8" s="48"/>
      <c r="N8" s="48">
        <f t="shared" si="1"/>
        <v>21250.299999999996</v>
      </c>
      <c r="O8" s="48"/>
      <c r="P8" s="48"/>
      <c r="Q8" s="48" t="str">
        <f t="shared" si="2"/>
        <v>22017</v>
      </c>
      <c r="R8" s="48">
        <f t="shared" si="3"/>
        <v>21250.299999999996</v>
      </c>
    </row>
    <row r="9" spans="1:18">
      <c r="A9" t="s">
        <v>548</v>
      </c>
      <c r="B9" t="s">
        <v>1856</v>
      </c>
      <c r="C9" s="48">
        <v>234047.68</v>
      </c>
      <c r="D9" s="48">
        <v>10689.01</v>
      </c>
      <c r="E9" s="48">
        <v>3265.54</v>
      </c>
      <c r="F9" s="48">
        <v>0</v>
      </c>
      <c r="G9" s="48">
        <v>101.35</v>
      </c>
      <c r="H9" s="48">
        <v>9102.74</v>
      </c>
      <c r="I9" s="48">
        <v>248.58</v>
      </c>
      <c r="J9" s="48">
        <v>1462.88</v>
      </c>
      <c r="K9" s="48">
        <v>1305.5</v>
      </c>
      <c r="L9" s="48">
        <v>0</v>
      </c>
      <c r="M9" s="48"/>
      <c r="N9" s="48">
        <f t="shared" si="1"/>
        <v>260223.28</v>
      </c>
      <c r="O9" s="48"/>
      <c r="P9" s="48"/>
      <c r="Q9" s="48" t="str">
        <f t="shared" si="2"/>
        <v>29103</v>
      </c>
      <c r="R9" s="48">
        <f t="shared" si="3"/>
        <v>260223.28</v>
      </c>
    </row>
    <row r="10" spans="1:18">
      <c r="A10" t="s">
        <v>572</v>
      </c>
      <c r="B10" t="s">
        <v>1868</v>
      </c>
      <c r="C10" s="48">
        <v>473920.05</v>
      </c>
      <c r="D10" s="48">
        <v>37331.949999999997</v>
      </c>
      <c r="E10" s="48">
        <v>3548.1</v>
      </c>
      <c r="F10" s="48">
        <v>0</v>
      </c>
      <c r="G10" s="48">
        <v>101.05</v>
      </c>
      <c r="H10" s="48">
        <v>24716.880000000001</v>
      </c>
      <c r="I10" s="48">
        <v>806.55</v>
      </c>
      <c r="J10" s="48">
        <v>10492.3</v>
      </c>
      <c r="K10" s="48">
        <v>2795.21</v>
      </c>
      <c r="L10" s="48">
        <v>0</v>
      </c>
      <c r="M10" s="48"/>
      <c r="N10" s="48">
        <f t="shared" si="1"/>
        <v>553712.09</v>
      </c>
      <c r="O10" s="48"/>
      <c r="P10" s="48"/>
      <c r="Q10" s="48" t="str">
        <f t="shared" si="2"/>
        <v>31016</v>
      </c>
      <c r="R10" s="48">
        <f t="shared" si="3"/>
        <v>553712.09</v>
      </c>
    </row>
    <row r="11" spans="1:18">
      <c r="A11" t="s">
        <v>175</v>
      </c>
      <c r="B11" t="s">
        <v>1665</v>
      </c>
      <c r="C11" s="48">
        <v>54022.26</v>
      </c>
      <c r="D11" s="48">
        <v>4019.18</v>
      </c>
      <c r="E11" s="48">
        <v>132.58000000000001</v>
      </c>
      <c r="F11" s="48">
        <v>0</v>
      </c>
      <c r="G11" s="48">
        <v>89.14</v>
      </c>
      <c r="H11" s="48">
        <v>2378.8200000000002</v>
      </c>
      <c r="I11" s="48">
        <v>0</v>
      </c>
      <c r="J11" s="48">
        <v>0</v>
      </c>
      <c r="K11" s="48">
        <v>277.5</v>
      </c>
      <c r="L11" s="48">
        <v>3461.09</v>
      </c>
      <c r="M11" s="48"/>
      <c r="N11" s="48">
        <f t="shared" si="1"/>
        <v>64380.570000000007</v>
      </c>
      <c r="O11" s="48"/>
      <c r="P11" s="48"/>
      <c r="Q11" s="48" t="str">
        <f t="shared" si="2"/>
        <v>02420</v>
      </c>
      <c r="R11" s="48">
        <f t="shared" si="3"/>
        <v>64380.570000000007</v>
      </c>
    </row>
    <row r="12" spans="1:18">
      <c r="A12" t="s">
        <v>97</v>
      </c>
      <c r="B12" t="s">
        <v>1760</v>
      </c>
      <c r="C12" s="48">
        <v>1505143.42</v>
      </c>
      <c r="D12" s="48">
        <v>79463.990000000005</v>
      </c>
      <c r="E12" s="48">
        <v>21823.63</v>
      </c>
      <c r="F12" s="48">
        <v>0</v>
      </c>
      <c r="G12" s="48">
        <v>99</v>
      </c>
      <c r="H12" s="48">
        <v>109508.4</v>
      </c>
      <c r="I12" s="48">
        <v>64792.3</v>
      </c>
      <c r="J12" s="48">
        <v>149716.09</v>
      </c>
      <c r="K12" s="48">
        <v>8495.31</v>
      </c>
      <c r="L12" s="48">
        <v>19625.55</v>
      </c>
      <c r="M12" s="48"/>
      <c r="N12" s="48">
        <f t="shared" si="1"/>
        <v>1958667.69</v>
      </c>
      <c r="O12" s="48"/>
      <c r="P12" s="48"/>
      <c r="Q12" s="48" t="str">
        <f t="shared" si="2"/>
        <v>17408</v>
      </c>
      <c r="R12" s="48">
        <f t="shared" si="3"/>
        <v>1958667.69</v>
      </c>
    </row>
    <row r="13" spans="1:18">
      <c r="A13" t="s">
        <v>376</v>
      </c>
      <c r="B13" t="s">
        <v>1770</v>
      </c>
      <c r="C13" s="48">
        <v>302688.44</v>
      </c>
      <c r="D13" s="48">
        <v>31124.44</v>
      </c>
      <c r="E13" s="48">
        <v>5392.42</v>
      </c>
      <c r="F13" s="48">
        <v>0</v>
      </c>
      <c r="G13" s="48">
        <v>105.14</v>
      </c>
      <c r="H13" s="48">
        <v>4623.1499999999996</v>
      </c>
      <c r="I13" s="48">
        <v>0</v>
      </c>
      <c r="J13" s="48">
        <v>1546.06</v>
      </c>
      <c r="K13" s="48">
        <v>1816.91</v>
      </c>
      <c r="L13" s="48">
        <v>0</v>
      </c>
      <c r="M13" s="48"/>
      <c r="N13" s="48">
        <f t="shared" si="1"/>
        <v>347296.56</v>
      </c>
      <c r="O13" s="48"/>
      <c r="P13" s="48"/>
      <c r="Q13" s="48" t="str">
        <f t="shared" si="2"/>
        <v>18303</v>
      </c>
      <c r="R13" s="48">
        <f t="shared" si="3"/>
        <v>347296.56</v>
      </c>
    </row>
    <row r="14" spans="1:18">
      <c r="A14" t="s">
        <v>225</v>
      </c>
      <c r="B14" t="s">
        <v>1692</v>
      </c>
      <c r="C14" s="48">
        <v>881444.93</v>
      </c>
      <c r="D14" s="48">
        <v>91092.9</v>
      </c>
      <c r="E14" s="48">
        <v>6413.72</v>
      </c>
      <c r="F14" s="48">
        <v>0</v>
      </c>
      <c r="G14" s="48">
        <v>95.69</v>
      </c>
      <c r="H14" s="48">
        <v>54063.9</v>
      </c>
      <c r="I14" s="48">
        <v>3702.06</v>
      </c>
      <c r="J14" s="48">
        <v>38836.800000000003</v>
      </c>
      <c r="K14" s="48">
        <v>6038.95</v>
      </c>
      <c r="L14" s="48">
        <v>15793.51</v>
      </c>
      <c r="M14" s="48"/>
      <c r="N14" s="48">
        <f t="shared" si="1"/>
        <v>1097482.46</v>
      </c>
      <c r="O14" s="48"/>
      <c r="P14" s="48"/>
      <c r="Q14" s="48" t="str">
        <f t="shared" si="2"/>
        <v>06119</v>
      </c>
      <c r="R14" s="48">
        <f t="shared" si="3"/>
        <v>1097482.46</v>
      </c>
    </row>
    <row r="15" spans="1:18">
      <c r="A15" t="s">
        <v>354</v>
      </c>
      <c r="B15" t="s">
        <v>1757</v>
      </c>
      <c r="C15" s="48">
        <v>1765950.6</v>
      </c>
      <c r="D15" s="48">
        <v>86380.65</v>
      </c>
      <c r="E15" s="48">
        <v>23300.19</v>
      </c>
      <c r="F15" s="48">
        <v>0</v>
      </c>
      <c r="G15" s="48">
        <v>99</v>
      </c>
      <c r="H15" s="48">
        <v>50826.38</v>
      </c>
      <c r="I15" s="48">
        <v>10105.6</v>
      </c>
      <c r="J15" s="48">
        <v>121842.14</v>
      </c>
      <c r="K15" s="48">
        <v>10389.4</v>
      </c>
      <c r="L15" s="48">
        <v>0</v>
      </c>
      <c r="M15" s="48"/>
      <c r="N15" s="48">
        <f t="shared" si="1"/>
        <v>2068893.9599999997</v>
      </c>
      <c r="O15" s="48"/>
      <c r="P15" s="48"/>
      <c r="Q15" s="48" t="str">
        <f t="shared" si="2"/>
        <v>17405</v>
      </c>
      <c r="R15" s="48">
        <f t="shared" si="3"/>
        <v>2068893.9599999997</v>
      </c>
    </row>
    <row r="16" spans="1:18">
      <c r="A16" t="s">
        <v>671</v>
      </c>
      <c r="B16" t="s">
        <v>1921</v>
      </c>
      <c r="C16" s="48">
        <v>790141.61</v>
      </c>
      <c r="D16" s="48">
        <v>87442.16</v>
      </c>
      <c r="E16" s="48">
        <v>53060.46</v>
      </c>
      <c r="F16" s="48">
        <v>0</v>
      </c>
      <c r="G16" s="48">
        <v>92.42</v>
      </c>
      <c r="H16" s="48">
        <v>44033.22</v>
      </c>
      <c r="I16" s="48">
        <v>9105.7000000000007</v>
      </c>
      <c r="J16" s="48">
        <v>28555.81</v>
      </c>
      <c r="K16" s="48">
        <v>5034.9399999999996</v>
      </c>
      <c r="L16" s="48">
        <v>26911.82</v>
      </c>
      <c r="M16" s="48"/>
      <c r="N16" s="48">
        <f t="shared" si="1"/>
        <v>1044378.1399999999</v>
      </c>
      <c r="O16" s="48"/>
      <c r="P16" s="48"/>
      <c r="Q16" s="48" t="str">
        <f t="shared" si="2"/>
        <v>37501</v>
      </c>
      <c r="R16" s="48">
        <f t="shared" si="3"/>
        <v>1044378.1399999999</v>
      </c>
    </row>
    <row r="17" spans="1:18">
      <c r="A17" t="s">
        <v>165</v>
      </c>
      <c r="B17" t="s">
        <v>1660</v>
      </c>
      <c r="C17" s="48">
        <v>2960.04</v>
      </c>
      <c r="D17" s="48">
        <v>0</v>
      </c>
      <c r="E17" s="48">
        <v>0</v>
      </c>
      <c r="F17" s="48">
        <v>0</v>
      </c>
      <c r="G17" s="48">
        <v>86.1</v>
      </c>
      <c r="H17" s="48">
        <v>0</v>
      </c>
      <c r="I17" s="48">
        <v>0</v>
      </c>
      <c r="J17" s="48">
        <v>0</v>
      </c>
      <c r="K17" s="48">
        <v>0</v>
      </c>
      <c r="L17" s="48">
        <v>0</v>
      </c>
      <c r="M17" s="48"/>
      <c r="N17" s="48">
        <f t="shared" si="1"/>
        <v>3046.14</v>
      </c>
      <c r="O17" s="48"/>
      <c r="P17" s="48"/>
      <c r="Q17" s="48" t="str">
        <f t="shared" si="2"/>
        <v>01122</v>
      </c>
      <c r="R17" s="48">
        <f t="shared" si="3"/>
        <v>3046.14</v>
      </c>
    </row>
    <row r="18" spans="1:18">
      <c r="A18" t="s">
        <v>527</v>
      </c>
      <c r="B18" t="s">
        <v>1845</v>
      </c>
      <c r="C18" s="48">
        <v>1630091.66</v>
      </c>
      <c r="D18" s="48">
        <v>95454.59</v>
      </c>
      <c r="E18" s="48">
        <v>22380.21</v>
      </c>
      <c r="F18" s="48">
        <v>57340.41</v>
      </c>
      <c r="G18" s="48">
        <v>93.35</v>
      </c>
      <c r="H18" s="48">
        <v>111816.08</v>
      </c>
      <c r="I18" s="48">
        <v>53122.57</v>
      </c>
      <c r="J18" s="48">
        <v>48883.48</v>
      </c>
      <c r="K18" s="48">
        <v>9759.3700000000008</v>
      </c>
      <c r="L18" s="48">
        <v>13942.9</v>
      </c>
      <c r="M18" s="48"/>
      <c r="N18" s="48">
        <f t="shared" si="1"/>
        <v>2042884.62</v>
      </c>
      <c r="O18" s="48"/>
      <c r="P18" s="48"/>
      <c r="Q18" s="48" t="str">
        <f t="shared" si="2"/>
        <v>27403</v>
      </c>
      <c r="R18" s="48">
        <f t="shared" si="3"/>
        <v>2042884.62</v>
      </c>
    </row>
    <row r="19" spans="1:18">
      <c r="A19" t="s">
        <v>398</v>
      </c>
      <c r="B19" t="s">
        <v>1782</v>
      </c>
      <c r="C19" s="48">
        <v>19338.93</v>
      </c>
      <c r="D19" s="48">
        <v>86.33</v>
      </c>
      <c r="E19" s="48">
        <v>115.63</v>
      </c>
      <c r="F19" s="48">
        <v>0</v>
      </c>
      <c r="G19" s="48">
        <v>89.45</v>
      </c>
      <c r="H19" s="48">
        <v>0</v>
      </c>
      <c r="I19" s="48">
        <v>0</v>
      </c>
      <c r="J19" s="48">
        <v>0</v>
      </c>
      <c r="K19" s="48">
        <v>0</v>
      </c>
      <c r="L19" s="48">
        <v>0</v>
      </c>
      <c r="M19" s="48"/>
      <c r="N19" s="48">
        <f t="shared" si="1"/>
        <v>19630.340000000004</v>
      </c>
      <c r="O19" s="48"/>
      <c r="P19" s="48"/>
      <c r="Q19" s="48" t="str">
        <f t="shared" si="2"/>
        <v>20203</v>
      </c>
      <c r="R19" s="48">
        <f t="shared" si="3"/>
        <v>19630.340000000004</v>
      </c>
    </row>
    <row r="20" spans="1:18">
      <c r="A20" t="s">
        <v>675</v>
      </c>
      <c r="B20" t="s">
        <v>1923</v>
      </c>
      <c r="C20" s="48">
        <v>160949.94</v>
      </c>
      <c r="D20" s="48">
        <v>10344.6</v>
      </c>
      <c r="E20" s="48">
        <v>832.26</v>
      </c>
      <c r="F20" s="48">
        <v>0</v>
      </c>
      <c r="G20" s="48">
        <v>97.87</v>
      </c>
      <c r="H20" s="48">
        <v>10318.69</v>
      </c>
      <c r="I20" s="48">
        <v>4460.04</v>
      </c>
      <c r="J20" s="48">
        <v>3151.21</v>
      </c>
      <c r="K20" s="48">
        <v>939.32</v>
      </c>
      <c r="L20" s="48">
        <v>6476.82</v>
      </c>
      <c r="M20" s="48"/>
      <c r="N20" s="48">
        <f t="shared" si="1"/>
        <v>197570.75000000003</v>
      </c>
      <c r="O20" s="48"/>
      <c r="P20" s="48"/>
      <c r="Q20" s="48" t="str">
        <f t="shared" si="2"/>
        <v>37503</v>
      </c>
      <c r="R20" s="48">
        <f t="shared" si="3"/>
        <v>197570.75000000003</v>
      </c>
    </row>
    <row r="21" spans="1:18">
      <c r="A21" t="s">
        <v>428</v>
      </c>
      <c r="B21" t="s">
        <v>1797</v>
      </c>
      <c r="C21" s="48">
        <v>8081.52</v>
      </c>
      <c r="D21" s="48">
        <v>0</v>
      </c>
      <c r="E21" s="48">
        <v>69.37</v>
      </c>
      <c r="F21" s="48">
        <v>0</v>
      </c>
      <c r="G21" s="48">
        <v>81.599999999999994</v>
      </c>
      <c r="H21" s="48">
        <v>1523.18</v>
      </c>
      <c r="I21" s="48">
        <v>337.63</v>
      </c>
      <c r="J21" s="48">
        <v>0</v>
      </c>
      <c r="K21" s="48">
        <v>172.67</v>
      </c>
      <c r="L21" s="48">
        <v>379.25</v>
      </c>
      <c r="M21" s="48"/>
      <c r="N21" s="48">
        <f t="shared" si="1"/>
        <v>10645.22</v>
      </c>
      <c r="O21" s="48"/>
      <c r="P21" s="48"/>
      <c r="Q21" s="48" t="str">
        <f t="shared" si="2"/>
        <v>21234</v>
      </c>
      <c r="R21" s="48">
        <f t="shared" si="3"/>
        <v>10645.22</v>
      </c>
    </row>
    <row r="22" spans="1:18">
      <c r="A22" t="s">
        <v>374</v>
      </c>
      <c r="B22" t="s">
        <v>1769</v>
      </c>
      <c r="C22" s="48">
        <v>369561.39</v>
      </c>
      <c r="D22" s="48">
        <v>29556.400000000001</v>
      </c>
      <c r="E22" s="48">
        <v>12978.11</v>
      </c>
      <c r="F22" s="48">
        <v>35612.480000000003</v>
      </c>
      <c r="G22" s="48">
        <v>104.73</v>
      </c>
      <c r="H22" s="48">
        <v>32783.64</v>
      </c>
      <c r="I22" s="48">
        <v>20191.2</v>
      </c>
      <c r="J22" s="48">
        <v>18177.349999999999</v>
      </c>
      <c r="K22" s="48">
        <v>2317.65</v>
      </c>
      <c r="L22" s="48">
        <v>0</v>
      </c>
      <c r="M22" s="48"/>
      <c r="N22" s="48">
        <f t="shared" si="1"/>
        <v>521282.95</v>
      </c>
      <c r="O22" s="48"/>
      <c r="P22" s="48"/>
      <c r="Q22" s="48" t="str">
        <f t="shared" si="2"/>
        <v>18100</v>
      </c>
      <c r="R22" s="48">
        <f t="shared" si="3"/>
        <v>521282.95</v>
      </c>
    </row>
    <row r="23" spans="1:18">
      <c r="A23" t="s">
        <v>478</v>
      </c>
      <c r="B23" t="s">
        <v>1821</v>
      </c>
      <c r="C23" s="48">
        <v>67417.990000000005</v>
      </c>
      <c r="D23" s="48">
        <v>7443.27</v>
      </c>
      <c r="E23" s="48">
        <v>1390.6</v>
      </c>
      <c r="F23" s="48">
        <v>0</v>
      </c>
      <c r="G23" s="48">
        <v>88.63</v>
      </c>
      <c r="H23" s="48">
        <v>9191.5400000000009</v>
      </c>
      <c r="I23" s="48">
        <v>4376.8500000000004</v>
      </c>
      <c r="J23" s="48">
        <v>10020.959999999999</v>
      </c>
      <c r="K23" s="48">
        <v>410.08</v>
      </c>
      <c r="L23" s="48">
        <v>5966.33</v>
      </c>
      <c r="M23" s="48"/>
      <c r="N23" s="48">
        <f t="shared" si="1"/>
        <v>106306.25000000003</v>
      </c>
      <c r="O23" s="48"/>
      <c r="P23" s="48"/>
      <c r="Q23" s="48" t="str">
        <f t="shared" si="2"/>
        <v>24111</v>
      </c>
      <c r="R23" s="48">
        <f t="shared" si="3"/>
        <v>106306.25000000003</v>
      </c>
    </row>
    <row r="24" spans="1:18">
      <c r="A24" t="s">
        <v>247</v>
      </c>
      <c r="B24" t="s">
        <v>1703</v>
      </c>
      <c r="C24" s="48">
        <v>58078.44</v>
      </c>
      <c r="D24" s="48">
        <v>2176.87</v>
      </c>
      <c r="E24" s="48">
        <v>464.05</v>
      </c>
      <c r="F24" s="48">
        <v>0</v>
      </c>
      <c r="G24" s="48">
        <v>89.31</v>
      </c>
      <c r="H24" s="48">
        <v>6697.09</v>
      </c>
      <c r="I24" s="48">
        <v>3390.17</v>
      </c>
      <c r="J24" s="48">
        <v>10088.799999999999</v>
      </c>
      <c r="K24" s="48">
        <v>311.43</v>
      </c>
      <c r="L24" s="48">
        <v>3396.33</v>
      </c>
      <c r="M24" s="48"/>
      <c r="N24" s="48">
        <f t="shared" si="1"/>
        <v>84692.49</v>
      </c>
      <c r="O24" s="48"/>
      <c r="P24" s="48"/>
      <c r="Q24" s="48" t="str">
        <f t="shared" si="2"/>
        <v>09075</v>
      </c>
      <c r="R24" s="48">
        <f t="shared" si="3"/>
        <v>84692.49</v>
      </c>
    </row>
    <row r="25" spans="1:18">
      <c r="A25" t="s">
        <v>330</v>
      </c>
      <c r="B25" t="s">
        <v>1745</v>
      </c>
      <c r="C25" s="48">
        <v>5938.58</v>
      </c>
      <c r="D25" s="48">
        <v>0</v>
      </c>
      <c r="E25" s="48">
        <v>0</v>
      </c>
      <c r="F25" s="48">
        <v>0</v>
      </c>
      <c r="G25" s="48">
        <v>92.43</v>
      </c>
      <c r="H25" s="48">
        <v>536.51</v>
      </c>
      <c r="I25" s="48">
        <v>323.75</v>
      </c>
      <c r="J25" s="48">
        <v>0</v>
      </c>
      <c r="K25" s="48">
        <v>29.3</v>
      </c>
      <c r="L25" s="48">
        <v>493.34</v>
      </c>
      <c r="M25" s="48"/>
      <c r="N25" s="48">
        <f t="shared" si="1"/>
        <v>7413.9100000000008</v>
      </c>
      <c r="O25" s="48"/>
      <c r="P25" s="48"/>
      <c r="Q25" s="48" t="str">
        <f t="shared" si="2"/>
        <v>16046</v>
      </c>
      <c r="R25" s="48">
        <f t="shared" si="3"/>
        <v>7413.9100000000008</v>
      </c>
    </row>
    <row r="26" spans="1:18">
      <c r="A26" t="s">
        <v>545</v>
      </c>
      <c r="B26" t="s">
        <v>1854</v>
      </c>
      <c r="C26" s="48">
        <v>257839.68</v>
      </c>
      <c r="D26" s="48">
        <v>24551.81</v>
      </c>
      <c r="E26" s="48">
        <v>5739.52</v>
      </c>
      <c r="F26" s="48">
        <v>0</v>
      </c>
      <c r="G26" s="48">
        <v>98.31</v>
      </c>
      <c r="H26" s="48">
        <v>19867.3</v>
      </c>
      <c r="I26" s="48">
        <v>12047.12</v>
      </c>
      <c r="J26" s="48">
        <v>20312.78</v>
      </c>
      <c r="K26" s="48">
        <v>1522.94</v>
      </c>
      <c r="L26" s="48">
        <v>3643.31</v>
      </c>
      <c r="M26" s="48"/>
      <c r="N26" s="48">
        <f t="shared" si="1"/>
        <v>345622.77</v>
      </c>
      <c r="O26" s="48"/>
      <c r="P26" s="48"/>
      <c r="Q26" s="48" t="str">
        <f t="shared" si="2"/>
        <v>29100</v>
      </c>
      <c r="R26" s="48">
        <f t="shared" si="3"/>
        <v>345622.77</v>
      </c>
    </row>
    <row r="27" spans="1:18">
      <c r="A27" t="s">
        <v>223</v>
      </c>
      <c r="B27" t="s">
        <v>1691</v>
      </c>
      <c r="C27" s="48">
        <v>600568.76</v>
      </c>
      <c r="D27" s="48">
        <v>38672.300000000003</v>
      </c>
      <c r="E27" s="48">
        <v>3379.84</v>
      </c>
      <c r="F27" s="48">
        <v>0</v>
      </c>
      <c r="G27" s="48">
        <v>94.53</v>
      </c>
      <c r="H27" s="48">
        <v>14021.34</v>
      </c>
      <c r="I27" s="48">
        <v>0</v>
      </c>
      <c r="J27" s="48">
        <v>8857.4500000000007</v>
      </c>
      <c r="K27" s="48">
        <v>3430.72</v>
      </c>
      <c r="L27" s="48">
        <v>2211.39</v>
      </c>
      <c r="M27" s="48"/>
      <c r="N27" s="48">
        <f t="shared" si="1"/>
        <v>671236.33</v>
      </c>
      <c r="O27" s="48"/>
      <c r="P27" s="48"/>
      <c r="Q27" s="48" t="str">
        <f t="shared" si="2"/>
        <v>06117</v>
      </c>
      <c r="R27" s="48">
        <f t="shared" si="3"/>
        <v>671236.33</v>
      </c>
    </row>
    <row r="28" spans="1:18">
      <c r="A28" t="s">
        <v>209</v>
      </c>
      <c r="B28" t="s">
        <v>1682</v>
      </c>
      <c r="C28" s="48">
        <v>58631.91</v>
      </c>
      <c r="D28" s="48">
        <v>877.22</v>
      </c>
      <c r="E28" s="48">
        <v>0</v>
      </c>
      <c r="F28" s="48">
        <v>0</v>
      </c>
      <c r="G28" s="48">
        <v>88.62</v>
      </c>
      <c r="H28" s="48">
        <v>3498.09</v>
      </c>
      <c r="I28" s="48">
        <v>2181.48</v>
      </c>
      <c r="J28" s="48">
        <v>0</v>
      </c>
      <c r="K28" s="48">
        <v>211.21</v>
      </c>
      <c r="L28" s="48">
        <v>0</v>
      </c>
      <c r="M28" s="48"/>
      <c r="N28" s="48">
        <f t="shared" si="1"/>
        <v>65488.530000000013</v>
      </c>
      <c r="O28" s="48"/>
      <c r="P28" s="48"/>
      <c r="Q28" s="48" t="str">
        <f t="shared" si="2"/>
        <v>05401</v>
      </c>
      <c r="R28" s="48">
        <f t="shared" si="3"/>
        <v>65488.530000000013</v>
      </c>
    </row>
    <row r="29" spans="1:18">
      <c r="A29" t="s">
        <v>511</v>
      </c>
      <c r="B29" t="s">
        <v>1838</v>
      </c>
      <c r="C29" s="48">
        <v>15642.45</v>
      </c>
      <c r="D29" s="48">
        <v>0</v>
      </c>
      <c r="E29" s="48">
        <v>0</v>
      </c>
      <c r="F29" s="48">
        <v>0</v>
      </c>
      <c r="G29" s="48">
        <v>96.7</v>
      </c>
      <c r="H29" s="48">
        <v>632.42999999999995</v>
      </c>
      <c r="I29" s="48">
        <v>0</v>
      </c>
      <c r="J29" s="48">
        <v>0</v>
      </c>
      <c r="K29" s="48">
        <v>80.08</v>
      </c>
      <c r="L29" s="48">
        <v>0</v>
      </c>
      <c r="M29" s="48"/>
      <c r="N29" s="48">
        <f t="shared" si="1"/>
        <v>16451.660000000003</v>
      </c>
      <c r="O29" s="48"/>
      <c r="P29" s="48"/>
      <c r="Q29" s="48" t="str">
        <f t="shared" si="2"/>
        <v>27019</v>
      </c>
      <c r="R29" s="48">
        <f t="shared" si="3"/>
        <v>16451.660000000003</v>
      </c>
    </row>
    <row r="30" spans="1:18">
      <c r="A30" t="s">
        <v>199</v>
      </c>
      <c r="B30" t="s">
        <v>1677</v>
      </c>
      <c r="C30" s="48">
        <v>85592.94</v>
      </c>
      <c r="D30" s="48">
        <v>11027.68</v>
      </c>
      <c r="E30" s="48">
        <v>4803.8900000000003</v>
      </c>
      <c r="F30" s="48">
        <v>0</v>
      </c>
      <c r="G30" s="48">
        <v>87.72</v>
      </c>
      <c r="H30" s="48">
        <v>5394.37</v>
      </c>
      <c r="I30" s="48">
        <v>0</v>
      </c>
      <c r="J30" s="48">
        <v>3453.38</v>
      </c>
      <c r="K30" s="48">
        <v>527.25</v>
      </c>
      <c r="L30" s="48">
        <v>1919.4</v>
      </c>
      <c r="M30" s="48"/>
      <c r="N30" s="48">
        <f t="shared" si="1"/>
        <v>112806.62999999999</v>
      </c>
      <c r="O30" s="48"/>
      <c r="P30" s="48"/>
      <c r="Q30" s="48" t="str">
        <f t="shared" si="2"/>
        <v>04228</v>
      </c>
      <c r="R30" s="48">
        <f t="shared" si="3"/>
        <v>112806.62999999999</v>
      </c>
    </row>
    <row r="31" spans="1:18">
      <c r="A31" t="s">
        <v>197</v>
      </c>
      <c r="B31" t="s">
        <v>1676</v>
      </c>
      <c r="C31" s="48">
        <v>124747.41</v>
      </c>
      <c r="D31" s="48">
        <v>12467.68</v>
      </c>
      <c r="E31" s="48">
        <v>4183.1499999999996</v>
      </c>
      <c r="F31" s="48">
        <v>0</v>
      </c>
      <c r="G31" s="48">
        <v>90.92</v>
      </c>
      <c r="H31" s="48">
        <v>7623.96</v>
      </c>
      <c r="I31" s="48">
        <v>0</v>
      </c>
      <c r="J31" s="48">
        <v>4741.12</v>
      </c>
      <c r="K31" s="48">
        <v>727.93</v>
      </c>
      <c r="L31" s="48">
        <v>0</v>
      </c>
      <c r="M31" s="48"/>
      <c r="N31" s="48">
        <f t="shared" si="1"/>
        <v>154582.16999999998</v>
      </c>
      <c r="O31" s="48"/>
      <c r="P31" s="48"/>
      <c r="Q31" s="48" t="str">
        <f t="shared" si="2"/>
        <v>04222</v>
      </c>
      <c r="R31" s="48">
        <f t="shared" si="3"/>
        <v>154582.16999999998</v>
      </c>
    </row>
    <row r="32" spans="1:18">
      <c r="A32" t="s">
        <v>237</v>
      </c>
      <c r="B32" t="s">
        <v>1698</v>
      </c>
      <c r="C32" s="48">
        <v>107756.24</v>
      </c>
      <c r="D32" s="48">
        <v>7956.65</v>
      </c>
      <c r="E32" s="48">
        <v>565.79999999999995</v>
      </c>
      <c r="F32" s="48">
        <v>0</v>
      </c>
      <c r="G32" s="48">
        <v>88.08</v>
      </c>
      <c r="H32" s="48">
        <v>7253.63</v>
      </c>
      <c r="I32" s="48">
        <v>4529.47</v>
      </c>
      <c r="J32" s="48">
        <v>632.09</v>
      </c>
      <c r="K32" s="48">
        <v>613.59</v>
      </c>
      <c r="L32" s="48">
        <v>0</v>
      </c>
      <c r="M32" s="48"/>
      <c r="N32" s="48">
        <f t="shared" si="1"/>
        <v>129395.55</v>
      </c>
      <c r="O32" s="48"/>
      <c r="P32" s="48"/>
      <c r="Q32" s="48" t="str">
        <f t="shared" si="2"/>
        <v>08401</v>
      </c>
      <c r="R32" s="48">
        <f t="shared" si="3"/>
        <v>129395.55</v>
      </c>
    </row>
    <row r="33" spans="1:18">
      <c r="A33" t="s">
        <v>1575</v>
      </c>
      <c r="B33" t="s">
        <v>1964</v>
      </c>
      <c r="C33" s="48">
        <v>67835.820000000007</v>
      </c>
      <c r="D33" s="48">
        <v>0</v>
      </c>
      <c r="E33" s="48">
        <v>0</v>
      </c>
      <c r="F33" s="48">
        <v>0</v>
      </c>
      <c r="G33" s="48">
        <v>105.92</v>
      </c>
      <c r="H33" s="48">
        <v>2990.75</v>
      </c>
      <c r="I33" s="48">
        <v>0</v>
      </c>
      <c r="J33" s="48">
        <v>172.82</v>
      </c>
      <c r="K33" s="48">
        <v>271.06</v>
      </c>
      <c r="L33" s="48">
        <v>0</v>
      </c>
      <c r="M33" s="48"/>
      <c r="N33" s="48">
        <f t="shared" si="1"/>
        <v>71376.37000000001</v>
      </c>
      <c r="O33" s="48"/>
      <c r="P33" s="48"/>
      <c r="Q33" s="48" t="str">
        <f t="shared" si="2"/>
        <v>18901</v>
      </c>
      <c r="R33" s="48">
        <f t="shared" si="3"/>
        <v>71376.37000000001</v>
      </c>
    </row>
    <row r="34" spans="1:18">
      <c r="A34" t="s">
        <v>400</v>
      </c>
      <c r="B34" t="s">
        <v>1783</v>
      </c>
      <c r="C34" s="48">
        <v>9723.42</v>
      </c>
      <c r="D34" s="48">
        <v>0</v>
      </c>
      <c r="E34" s="48">
        <v>0</v>
      </c>
      <c r="F34" s="48">
        <v>0</v>
      </c>
      <c r="G34" s="48">
        <v>94.18</v>
      </c>
      <c r="H34" s="48">
        <v>333</v>
      </c>
      <c r="I34" s="48">
        <v>0</v>
      </c>
      <c r="J34" s="48">
        <v>0</v>
      </c>
      <c r="K34" s="48">
        <v>41.62</v>
      </c>
      <c r="L34" s="48">
        <v>0</v>
      </c>
      <c r="M34" s="48"/>
      <c r="N34" s="48">
        <f t="shared" si="1"/>
        <v>10192.220000000001</v>
      </c>
      <c r="O34" s="48"/>
      <c r="P34" s="48"/>
      <c r="Q34" s="48" t="str">
        <f t="shared" si="2"/>
        <v>20215</v>
      </c>
      <c r="R34" s="48">
        <f t="shared" si="3"/>
        <v>10192.220000000001</v>
      </c>
    </row>
    <row r="35" spans="1:18">
      <c r="A35" t="s">
        <v>380</v>
      </c>
      <c r="B35" t="s">
        <v>1772</v>
      </c>
      <c r="C35" s="48">
        <v>997951.57</v>
      </c>
      <c r="D35" s="48">
        <v>67855.740000000005</v>
      </c>
      <c r="E35" s="48">
        <v>12293.29</v>
      </c>
      <c r="F35" s="48">
        <v>0</v>
      </c>
      <c r="G35" s="48">
        <v>107.24</v>
      </c>
      <c r="H35" s="48">
        <v>51437.72</v>
      </c>
      <c r="I35" s="48">
        <v>9389.25</v>
      </c>
      <c r="J35" s="48">
        <v>15108.94</v>
      </c>
      <c r="K35" s="48">
        <v>5875.8</v>
      </c>
      <c r="L35" s="48">
        <v>6633.78</v>
      </c>
      <c r="M35" s="48"/>
      <c r="N35" s="48">
        <f t="shared" si="1"/>
        <v>1166653.33</v>
      </c>
      <c r="O35" s="48"/>
      <c r="P35" s="48"/>
      <c r="Q35" s="48" t="str">
        <f t="shared" si="2"/>
        <v>18401</v>
      </c>
      <c r="R35" s="48">
        <f t="shared" si="3"/>
        <v>1166653.33</v>
      </c>
    </row>
    <row r="36" spans="1:18">
      <c r="A36" t="s">
        <v>604</v>
      </c>
      <c r="B36" t="s">
        <v>1884</v>
      </c>
      <c r="C36" s="48">
        <v>1113818.52</v>
      </c>
      <c r="D36" s="48">
        <v>65522.7</v>
      </c>
      <c r="E36" s="48">
        <v>41478.79</v>
      </c>
      <c r="F36" s="48">
        <v>6722.86</v>
      </c>
      <c r="G36" s="48">
        <v>90.94</v>
      </c>
      <c r="H36" s="48">
        <v>64454.87</v>
      </c>
      <c r="I36" s="48">
        <v>20681.669999999998</v>
      </c>
      <c r="J36" s="48">
        <v>23272.7</v>
      </c>
      <c r="K36" s="48">
        <v>6592.99</v>
      </c>
      <c r="L36" s="48">
        <v>0</v>
      </c>
      <c r="M36" s="48"/>
      <c r="N36" s="48">
        <f t="shared" si="1"/>
        <v>1342636.04</v>
      </c>
      <c r="O36" s="48"/>
      <c r="P36" s="48"/>
      <c r="Q36" s="48" t="str">
        <f t="shared" si="2"/>
        <v>32356</v>
      </c>
      <c r="R36" s="48">
        <f t="shared" si="3"/>
        <v>1342636.04</v>
      </c>
    </row>
    <row r="37" spans="1:18">
      <c r="A37" t="s">
        <v>440</v>
      </c>
      <c r="B37" t="s">
        <v>1803</v>
      </c>
      <c r="C37" s="48">
        <v>236399.25</v>
      </c>
      <c r="D37" s="48">
        <v>25854.1</v>
      </c>
      <c r="E37" s="48">
        <v>9410.4599999999991</v>
      </c>
      <c r="F37" s="48">
        <v>0</v>
      </c>
      <c r="G37" s="48">
        <v>88.3</v>
      </c>
      <c r="H37" s="48">
        <v>23302.61</v>
      </c>
      <c r="I37" s="48">
        <v>14852.62</v>
      </c>
      <c r="J37" s="48">
        <v>13355.64</v>
      </c>
      <c r="K37" s="48">
        <v>1441.47</v>
      </c>
      <c r="L37" s="48">
        <v>0</v>
      </c>
      <c r="M37" s="48"/>
      <c r="N37" s="48">
        <f t="shared" si="1"/>
        <v>324704.44999999995</v>
      </c>
      <c r="O37" s="48"/>
      <c r="P37" s="48"/>
      <c r="Q37" s="48" t="str">
        <f t="shared" si="2"/>
        <v>21401</v>
      </c>
      <c r="R37" s="48">
        <f t="shared" si="3"/>
        <v>324704.44999999995</v>
      </c>
    </row>
    <row r="38" spans="1:18">
      <c r="A38" t="s">
        <v>436</v>
      </c>
      <c r="B38" t="s">
        <v>1801</v>
      </c>
      <c r="C38" s="48">
        <v>230302.68</v>
      </c>
      <c r="D38" s="48">
        <v>20171.810000000001</v>
      </c>
      <c r="E38" s="48">
        <v>0</v>
      </c>
      <c r="F38" s="48">
        <v>0</v>
      </c>
      <c r="G38" s="48">
        <v>89.68</v>
      </c>
      <c r="H38" s="48">
        <v>16200.29</v>
      </c>
      <c r="I38" s="48">
        <v>7737.79</v>
      </c>
      <c r="J38" s="48">
        <v>3581.89</v>
      </c>
      <c r="K38" s="48">
        <v>1332.39</v>
      </c>
      <c r="L38" s="48">
        <v>0</v>
      </c>
      <c r="M38" s="48"/>
      <c r="N38" s="48">
        <f t="shared" si="1"/>
        <v>279416.52999999997</v>
      </c>
      <c r="O38" s="48"/>
      <c r="P38" s="48"/>
      <c r="Q38" s="48" t="str">
        <f t="shared" si="2"/>
        <v>21302</v>
      </c>
      <c r="R38" s="48">
        <f t="shared" si="3"/>
        <v>279416.52999999997</v>
      </c>
    </row>
    <row r="39" spans="1:18">
      <c r="A39" t="s">
        <v>608</v>
      </c>
      <c r="B39" t="s">
        <v>1886</v>
      </c>
      <c r="C39" s="48">
        <v>412994.91</v>
      </c>
      <c r="D39" s="48">
        <v>18347.62</v>
      </c>
      <c r="E39" s="48">
        <v>8807.66</v>
      </c>
      <c r="F39" s="48">
        <v>0</v>
      </c>
      <c r="G39" s="48">
        <v>87.75</v>
      </c>
      <c r="H39" s="48">
        <v>29013.02</v>
      </c>
      <c r="I39" s="48">
        <v>12826.83</v>
      </c>
      <c r="J39" s="48">
        <v>13280.1</v>
      </c>
      <c r="K39" s="48">
        <v>2421.9899999999998</v>
      </c>
      <c r="L39" s="48">
        <v>0</v>
      </c>
      <c r="M39" s="48"/>
      <c r="N39" s="48">
        <f t="shared" si="1"/>
        <v>497779.87999999995</v>
      </c>
      <c r="O39" s="48"/>
      <c r="P39" s="48"/>
      <c r="Q39" s="48" t="str">
        <f t="shared" si="2"/>
        <v>32360</v>
      </c>
      <c r="R39" s="48">
        <f t="shared" si="3"/>
        <v>497779.87999999995</v>
      </c>
    </row>
    <row r="40" spans="1:18">
      <c r="A40" t="s">
        <v>620</v>
      </c>
      <c r="B40" t="s">
        <v>1893</v>
      </c>
      <c r="C40" s="48">
        <v>45533.74</v>
      </c>
      <c r="D40" s="48">
        <v>2960.04</v>
      </c>
      <c r="E40" s="48">
        <v>880.3</v>
      </c>
      <c r="F40" s="48">
        <v>0</v>
      </c>
      <c r="G40" s="48">
        <v>85.75</v>
      </c>
      <c r="H40" s="48">
        <v>4520.2299999999996</v>
      </c>
      <c r="I40" s="48">
        <v>3553.59</v>
      </c>
      <c r="J40" s="48">
        <v>63.21</v>
      </c>
      <c r="K40" s="48">
        <v>320.67</v>
      </c>
      <c r="L40" s="48">
        <v>1748.27</v>
      </c>
      <c r="M40" s="48"/>
      <c r="N40" s="48">
        <f t="shared" si="1"/>
        <v>59665.799999999988</v>
      </c>
      <c r="O40" s="48"/>
      <c r="P40" s="48"/>
      <c r="Q40" s="48" t="str">
        <f t="shared" si="2"/>
        <v>33036</v>
      </c>
      <c r="R40" s="48">
        <f t="shared" si="3"/>
        <v>59665.799999999988</v>
      </c>
    </row>
    <row r="41" spans="1:18">
      <c r="A41" t="s">
        <v>1508</v>
      </c>
      <c r="B41" t="s">
        <v>1849</v>
      </c>
      <c r="C41" s="48">
        <v>62053.78</v>
      </c>
      <c r="D41" s="48">
        <v>4437.59</v>
      </c>
      <c r="E41" s="48">
        <v>787.38</v>
      </c>
      <c r="F41" s="48">
        <v>0</v>
      </c>
      <c r="G41" s="48">
        <v>97.47</v>
      </c>
      <c r="H41" s="48">
        <v>4430.6899999999996</v>
      </c>
      <c r="I41" s="48">
        <v>3259.99</v>
      </c>
      <c r="J41" s="48">
        <v>0</v>
      </c>
      <c r="K41" s="48">
        <v>0</v>
      </c>
      <c r="L41" s="48">
        <v>1856.19</v>
      </c>
      <c r="M41" s="48"/>
      <c r="N41" s="48">
        <f t="shared" si="1"/>
        <v>76923.090000000011</v>
      </c>
      <c r="O41" s="48"/>
      <c r="P41" s="48"/>
      <c r="Q41" s="48" t="str">
        <f t="shared" si="2"/>
        <v>27901</v>
      </c>
      <c r="R41" s="48">
        <f t="shared" si="3"/>
        <v>76923.090000000011</v>
      </c>
    </row>
    <row r="42" spans="1:18">
      <c r="A42" t="s">
        <v>334</v>
      </c>
      <c r="B42" t="s">
        <v>1747</v>
      </c>
      <c r="C42" s="48">
        <v>55416.38</v>
      </c>
      <c r="D42" s="48">
        <v>5711.89</v>
      </c>
      <c r="E42" s="48">
        <v>756.29</v>
      </c>
      <c r="F42" s="48">
        <v>0</v>
      </c>
      <c r="G42" s="48">
        <v>100.48</v>
      </c>
      <c r="H42" s="48">
        <v>4023.19</v>
      </c>
      <c r="I42" s="48">
        <v>3422.29</v>
      </c>
      <c r="J42" s="48">
        <v>0</v>
      </c>
      <c r="K42" s="48">
        <v>324.62</v>
      </c>
      <c r="L42" s="48">
        <v>3204.74</v>
      </c>
      <c r="M42" s="48"/>
      <c r="N42" s="48">
        <f t="shared" si="1"/>
        <v>72959.87999999999</v>
      </c>
      <c r="O42" s="48"/>
      <c r="P42" s="48"/>
      <c r="Q42" s="48" t="str">
        <f t="shared" si="2"/>
        <v>16049</v>
      </c>
      <c r="R42" s="48">
        <f t="shared" si="3"/>
        <v>72959.87999999999</v>
      </c>
    </row>
    <row r="43" spans="1:18">
      <c r="A43" t="s">
        <v>173</v>
      </c>
      <c r="B43" t="s">
        <v>1664</v>
      </c>
      <c r="C43" s="48">
        <v>173510.74</v>
      </c>
      <c r="D43" s="48">
        <v>11163.36</v>
      </c>
      <c r="E43" s="48">
        <v>581.22</v>
      </c>
      <c r="F43" s="48">
        <v>0</v>
      </c>
      <c r="G43" s="48">
        <v>87.26</v>
      </c>
      <c r="H43" s="48">
        <v>13110.51</v>
      </c>
      <c r="I43" s="48">
        <v>5778.25</v>
      </c>
      <c r="J43" s="48">
        <v>561.17999999999995</v>
      </c>
      <c r="K43" s="48">
        <v>1046.81</v>
      </c>
      <c r="L43" s="48">
        <v>6049.59</v>
      </c>
      <c r="M43" s="48"/>
      <c r="N43" s="48">
        <f t="shared" si="1"/>
        <v>211888.91999999998</v>
      </c>
      <c r="O43" s="48"/>
      <c r="P43" s="48"/>
      <c r="Q43" s="48" t="str">
        <f t="shared" si="2"/>
        <v>02250</v>
      </c>
      <c r="R43" s="48">
        <f t="shared" si="3"/>
        <v>211888.91999999998</v>
      </c>
    </row>
    <row r="44" spans="1:18">
      <c r="A44" t="s">
        <v>394</v>
      </c>
      <c r="B44" t="s">
        <v>1780</v>
      </c>
      <c r="C44" s="48">
        <v>76138.48</v>
      </c>
      <c r="D44" s="48">
        <v>8386.66</v>
      </c>
      <c r="E44" s="48">
        <v>601.38</v>
      </c>
      <c r="F44" s="48">
        <v>0</v>
      </c>
      <c r="G44" s="48">
        <v>95.8</v>
      </c>
      <c r="H44" s="48">
        <v>4265.2299999999996</v>
      </c>
      <c r="I44" s="48">
        <v>0</v>
      </c>
      <c r="J44" s="48">
        <v>563.79999999999995</v>
      </c>
      <c r="K44" s="48">
        <v>436.32</v>
      </c>
      <c r="L44" s="48">
        <v>5584.02</v>
      </c>
      <c r="M44" s="48"/>
      <c r="N44" s="48">
        <f t="shared" si="1"/>
        <v>96071.690000000017</v>
      </c>
      <c r="O44" s="48"/>
      <c r="P44" s="48"/>
      <c r="Q44" s="48" t="str">
        <f t="shared" si="2"/>
        <v>19404</v>
      </c>
      <c r="R44" s="48">
        <f t="shared" si="3"/>
        <v>96071.690000000017</v>
      </c>
    </row>
    <row r="45" spans="1:18">
      <c r="A45" t="s">
        <v>521</v>
      </c>
      <c r="B45" t="s">
        <v>1842</v>
      </c>
      <c r="C45" s="48">
        <v>981446.26</v>
      </c>
      <c r="D45" s="48">
        <v>55550.97</v>
      </c>
      <c r="E45" s="48">
        <v>34419.279999999999</v>
      </c>
      <c r="F45" s="48">
        <v>0</v>
      </c>
      <c r="G45" s="48">
        <v>94.5</v>
      </c>
      <c r="H45" s="48">
        <v>84178.69</v>
      </c>
      <c r="I45" s="48">
        <v>46804.79</v>
      </c>
      <c r="J45" s="48">
        <v>54202.77</v>
      </c>
      <c r="K45" s="48">
        <v>5559.51</v>
      </c>
      <c r="L45" s="48">
        <v>0</v>
      </c>
      <c r="M45" s="48"/>
      <c r="N45" s="48">
        <f t="shared" si="1"/>
        <v>1262256.77</v>
      </c>
      <c r="O45" s="48"/>
      <c r="P45" s="48"/>
      <c r="Q45" s="48" t="str">
        <f t="shared" si="2"/>
        <v>27400</v>
      </c>
      <c r="R45" s="48">
        <f t="shared" si="3"/>
        <v>1262256.77</v>
      </c>
    </row>
    <row r="46" spans="1:18">
      <c r="A46" t="s">
        <v>693</v>
      </c>
      <c r="B46" t="s">
        <v>1933</v>
      </c>
      <c r="C46" s="48">
        <v>46069.19</v>
      </c>
      <c r="D46" s="48">
        <v>3961.89</v>
      </c>
      <c r="E46" s="48">
        <v>822.52</v>
      </c>
      <c r="F46" s="48">
        <v>0</v>
      </c>
      <c r="G46" s="48">
        <v>91.87</v>
      </c>
      <c r="H46" s="48">
        <v>1778.13</v>
      </c>
      <c r="I46" s="48">
        <v>0</v>
      </c>
      <c r="J46" s="48">
        <v>0</v>
      </c>
      <c r="K46" s="48">
        <v>237.3</v>
      </c>
      <c r="L46" s="48">
        <v>2331.2800000000002</v>
      </c>
      <c r="M46" s="48"/>
      <c r="N46" s="48">
        <f t="shared" si="1"/>
        <v>55292.18</v>
      </c>
      <c r="O46" s="48"/>
      <c r="P46" s="48"/>
      <c r="Q46" s="48" t="str">
        <f t="shared" si="2"/>
        <v>38300</v>
      </c>
      <c r="R46" s="48">
        <f t="shared" si="3"/>
        <v>55292.18</v>
      </c>
    </row>
    <row r="47" spans="1:18">
      <c r="A47" t="s">
        <v>662</v>
      </c>
      <c r="B47" t="s">
        <v>1916</v>
      </c>
      <c r="C47" s="48">
        <v>115951.85</v>
      </c>
      <c r="D47" s="48">
        <v>11701.41</v>
      </c>
      <c r="E47" s="48">
        <v>1987.24</v>
      </c>
      <c r="F47" s="48">
        <v>0</v>
      </c>
      <c r="G47" s="48">
        <v>87.4</v>
      </c>
      <c r="H47" s="48">
        <v>7919.64</v>
      </c>
      <c r="I47" s="48">
        <v>6613.84</v>
      </c>
      <c r="J47" s="48">
        <v>6165.21</v>
      </c>
      <c r="K47" s="48">
        <v>675.26</v>
      </c>
      <c r="L47" s="48">
        <v>1705.11</v>
      </c>
      <c r="M47" s="48"/>
      <c r="N47" s="48">
        <f t="shared" si="1"/>
        <v>152806.96</v>
      </c>
      <c r="O47" s="48"/>
      <c r="P47" s="48"/>
      <c r="Q47" s="48" t="str">
        <f t="shared" si="2"/>
        <v>36250</v>
      </c>
      <c r="R47" s="48">
        <f t="shared" si="3"/>
        <v>152806.96</v>
      </c>
    </row>
    <row r="48" spans="1:18">
      <c r="A48" t="s">
        <v>701</v>
      </c>
      <c r="B48" t="s">
        <v>1937</v>
      </c>
      <c r="C48" s="48">
        <v>24380.25</v>
      </c>
      <c r="D48" s="48">
        <v>505.67</v>
      </c>
      <c r="E48" s="48">
        <v>201.96</v>
      </c>
      <c r="F48" s="48">
        <v>0</v>
      </c>
      <c r="G48" s="48">
        <v>92.84</v>
      </c>
      <c r="H48" s="48">
        <v>470.21</v>
      </c>
      <c r="I48" s="48">
        <v>0</v>
      </c>
      <c r="J48" s="48">
        <v>0</v>
      </c>
      <c r="K48" s="48">
        <v>0</v>
      </c>
      <c r="L48" s="48">
        <v>1426.06</v>
      </c>
      <c r="M48" s="48"/>
      <c r="N48" s="48">
        <f t="shared" si="1"/>
        <v>27076.989999999998</v>
      </c>
      <c r="O48" s="48"/>
      <c r="P48" s="48"/>
      <c r="Q48" s="48" t="str">
        <f t="shared" si="2"/>
        <v>38306</v>
      </c>
      <c r="R48" s="48">
        <f t="shared" si="3"/>
        <v>27076.989999999998</v>
      </c>
    </row>
    <row r="49" spans="1:18">
      <c r="A49" t="s">
        <v>633</v>
      </c>
      <c r="B49" t="s">
        <v>1900</v>
      </c>
      <c r="C49" s="48">
        <v>19391.349999999999</v>
      </c>
      <c r="D49" s="48">
        <v>766.22</v>
      </c>
      <c r="E49" s="48">
        <v>151.08000000000001</v>
      </c>
      <c r="F49" s="48">
        <v>0</v>
      </c>
      <c r="G49" s="48">
        <v>87.27</v>
      </c>
      <c r="H49" s="48">
        <v>797.06</v>
      </c>
      <c r="I49" s="48">
        <v>504.13</v>
      </c>
      <c r="J49" s="48">
        <v>0</v>
      </c>
      <c r="K49" s="48">
        <v>46.25</v>
      </c>
      <c r="L49" s="48">
        <v>41.62</v>
      </c>
      <c r="M49" s="48"/>
      <c r="N49" s="48">
        <f t="shared" si="1"/>
        <v>21784.980000000003</v>
      </c>
      <c r="O49" s="48"/>
      <c r="P49" s="48"/>
      <c r="Q49" s="48" t="str">
        <f t="shared" si="2"/>
        <v>33206</v>
      </c>
      <c r="R49" s="48">
        <f t="shared" si="3"/>
        <v>21784.980000000003</v>
      </c>
    </row>
    <row r="50" spans="1:18">
      <c r="A50" t="s">
        <v>666</v>
      </c>
      <c r="B50" t="s">
        <v>1918</v>
      </c>
      <c r="C50" s="48">
        <v>62170.080000000002</v>
      </c>
      <c r="D50" s="48">
        <v>5334.24</v>
      </c>
      <c r="E50" s="48">
        <v>0</v>
      </c>
      <c r="F50" s="48">
        <v>0</v>
      </c>
      <c r="G50" s="48">
        <v>89.03</v>
      </c>
      <c r="H50" s="48">
        <v>4276.6400000000003</v>
      </c>
      <c r="I50" s="48">
        <v>3538.17</v>
      </c>
      <c r="J50" s="48">
        <v>3397.88</v>
      </c>
      <c r="K50" s="48">
        <v>340.71</v>
      </c>
      <c r="L50" s="48">
        <v>1825.35</v>
      </c>
      <c r="M50" s="48"/>
      <c r="N50" s="48">
        <f t="shared" si="1"/>
        <v>80972.10000000002</v>
      </c>
      <c r="O50" s="48"/>
      <c r="P50" s="48"/>
      <c r="Q50" s="48" t="str">
        <f t="shared" si="2"/>
        <v>36400</v>
      </c>
      <c r="R50" s="48">
        <f t="shared" si="3"/>
        <v>80972.10000000002</v>
      </c>
    </row>
    <row r="51" spans="1:18">
      <c r="A51" t="s">
        <v>626</v>
      </c>
      <c r="B51" t="s">
        <v>1896</v>
      </c>
      <c r="C51" s="48">
        <v>129068.46</v>
      </c>
      <c r="D51" s="48">
        <v>9676.25</v>
      </c>
      <c r="E51" s="48">
        <v>2243.09</v>
      </c>
      <c r="F51" s="48">
        <v>1391.71</v>
      </c>
      <c r="G51" s="48">
        <v>92.07</v>
      </c>
      <c r="H51" s="48">
        <v>10862.73</v>
      </c>
      <c r="I51" s="48">
        <v>8076.1</v>
      </c>
      <c r="J51" s="48">
        <v>211.65</v>
      </c>
      <c r="K51" s="48">
        <v>759.99</v>
      </c>
      <c r="L51" s="48">
        <v>9397.26</v>
      </c>
      <c r="M51" s="48"/>
      <c r="N51" s="48">
        <f t="shared" si="1"/>
        <v>171779.31000000003</v>
      </c>
      <c r="O51" s="48"/>
      <c r="P51" s="48"/>
      <c r="Q51" s="48" t="str">
        <f t="shared" si="2"/>
        <v>33115</v>
      </c>
      <c r="R51" s="48">
        <f t="shared" si="3"/>
        <v>171779.31000000003</v>
      </c>
    </row>
    <row r="52" spans="1:18">
      <c r="A52" t="s">
        <v>543</v>
      </c>
      <c r="B52" t="s">
        <v>1853</v>
      </c>
      <c r="C52" s="48">
        <v>46375</v>
      </c>
      <c r="D52" s="48">
        <v>2220.87</v>
      </c>
      <c r="E52" s="48">
        <v>441.23</v>
      </c>
      <c r="F52" s="48">
        <v>0</v>
      </c>
      <c r="G52" s="48">
        <v>95.32</v>
      </c>
      <c r="H52" s="48">
        <v>3557.62</v>
      </c>
      <c r="I52" s="48">
        <v>2454.5500000000002</v>
      </c>
      <c r="J52" s="48">
        <v>335.01</v>
      </c>
      <c r="K52" s="48">
        <v>220.61</v>
      </c>
      <c r="L52" s="48">
        <v>3178.5</v>
      </c>
      <c r="M52" s="48"/>
      <c r="N52" s="48">
        <f t="shared" si="1"/>
        <v>58878.710000000014</v>
      </c>
      <c r="O52" s="48"/>
      <c r="P52" s="48"/>
      <c r="Q52" s="48" t="str">
        <f t="shared" si="2"/>
        <v>29011</v>
      </c>
      <c r="R52" s="48">
        <f t="shared" si="3"/>
        <v>58878.710000000014</v>
      </c>
    </row>
    <row r="53" spans="1:18">
      <c r="A53" t="s">
        <v>552</v>
      </c>
      <c r="B53" t="s">
        <v>1858</v>
      </c>
      <c r="C53" s="48">
        <v>43106.57</v>
      </c>
      <c r="D53" s="48">
        <v>0</v>
      </c>
      <c r="E53" s="48">
        <v>0</v>
      </c>
      <c r="F53" s="48">
        <v>0</v>
      </c>
      <c r="G53" s="48">
        <v>107</v>
      </c>
      <c r="H53" s="48">
        <v>1348.42</v>
      </c>
      <c r="I53" s="48">
        <v>0</v>
      </c>
      <c r="J53" s="48">
        <v>661.69</v>
      </c>
      <c r="K53" s="48">
        <v>212.81</v>
      </c>
      <c r="L53" s="48">
        <v>0</v>
      </c>
      <c r="M53" s="48"/>
      <c r="N53" s="48">
        <f t="shared" si="1"/>
        <v>45436.49</v>
      </c>
      <c r="O53" s="48"/>
      <c r="P53" s="48"/>
      <c r="Q53" s="48" t="str">
        <f t="shared" si="2"/>
        <v>29317</v>
      </c>
      <c r="R53" s="48">
        <f t="shared" si="3"/>
        <v>45436.49</v>
      </c>
    </row>
    <row r="54" spans="1:18">
      <c r="A54" t="s">
        <v>312</v>
      </c>
      <c r="B54" t="s">
        <v>1736</v>
      </c>
      <c r="C54" s="48">
        <v>15008.33</v>
      </c>
      <c r="D54" s="48">
        <v>0</v>
      </c>
      <c r="E54" s="48">
        <v>0</v>
      </c>
      <c r="F54" s="48">
        <v>0</v>
      </c>
      <c r="G54" s="48">
        <v>97.89</v>
      </c>
      <c r="H54" s="48">
        <v>921.93</v>
      </c>
      <c r="I54" s="48">
        <v>840.22</v>
      </c>
      <c r="J54" s="48">
        <v>52.42</v>
      </c>
      <c r="K54" s="48">
        <v>66.290000000000006</v>
      </c>
      <c r="L54" s="48">
        <v>1626.48</v>
      </c>
      <c r="M54" s="48"/>
      <c r="N54" s="48">
        <f t="shared" si="1"/>
        <v>18613.559999999998</v>
      </c>
      <c r="O54" s="48"/>
      <c r="P54" s="48"/>
      <c r="Q54" s="48" t="str">
        <f t="shared" si="2"/>
        <v>14099</v>
      </c>
      <c r="R54" s="48">
        <f t="shared" si="3"/>
        <v>18613.559999999998</v>
      </c>
    </row>
    <row r="55" spans="1:18">
      <c r="A55" t="s">
        <v>283</v>
      </c>
      <c r="B55" t="s">
        <v>1721</v>
      </c>
      <c r="C55" s="48">
        <v>21848.799999999999</v>
      </c>
      <c r="D55" s="48">
        <v>1640.35</v>
      </c>
      <c r="E55" s="48">
        <v>228.17</v>
      </c>
      <c r="F55" s="48">
        <v>0</v>
      </c>
      <c r="G55" s="48">
        <v>83.77</v>
      </c>
      <c r="H55" s="48">
        <v>858.72</v>
      </c>
      <c r="I55" s="48">
        <v>0</v>
      </c>
      <c r="J55" s="48">
        <v>0</v>
      </c>
      <c r="K55" s="48">
        <v>78.63</v>
      </c>
      <c r="L55" s="48">
        <v>0</v>
      </c>
      <c r="M55" s="48"/>
      <c r="N55" s="48">
        <f t="shared" si="1"/>
        <v>24738.44</v>
      </c>
      <c r="O55" s="48"/>
      <c r="P55" s="48"/>
      <c r="Q55" s="48" t="str">
        <f t="shared" si="2"/>
        <v>13151</v>
      </c>
      <c r="R55" s="48">
        <f t="shared" si="3"/>
        <v>24738.44</v>
      </c>
    </row>
    <row r="56" spans="1:18">
      <c r="A56" t="s">
        <v>324</v>
      </c>
      <c r="B56" t="s">
        <v>1742</v>
      </c>
      <c r="C56" s="48">
        <v>83675.39</v>
      </c>
      <c r="D56" s="48">
        <v>2925.01</v>
      </c>
      <c r="E56" s="48">
        <v>1098.18</v>
      </c>
      <c r="F56" s="48">
        <v>0</v>
      </c>
      <c r="G56" s="48">
        <v>98.23</v>
      </c>
      <c r="H56" s="48">
        <v>4653.42</v>
      </c>
      <c r="I56" s="48">
        <v>0</v>
      </c>
      <c r="J56" s="48">
        <v>927.23</v>
      </c>
      <c r="K56" s="48">
        <v>474.84</v>
      </c>
      <c r="L56" s="48">
        <v>669.95</v>
      </c>
      <c r="M56" s="48"/>
      <c r="N56" s="48">
        <f t="shared" si="1"/>
        <v>94522.249999999971</v>
      </c>
      <c r="O56" s="48"/>
      <c r="P56" s="48"/>
      <c r="Q56" s="48" t="str">
        <f t="shared" si="2"/>
        <v>15204</v>
      </c>
      <c r="R56" s="48">
        <f t="shared" si="3"/>
        <v>94522.249999999971</v>
      </c>
    </row>
    <row r="57" spans="1:18">
      <c r="A57" t="s">
        <v>205</v>
      </c>
      <c r="B57" t="s">
        <v>1680</v>
      </c>
      <c r="C57" s="48">
        <v>27628.58</v>
      </c>
      <c r="D57" s="48">
        <v>149.55000000000001</v>
      </c>
      <c r="E57" s="48">
        <v>0</v>
      </c>
      <c r="F57" s="48">
        <v>0</v>
      </c>
      <c r="G57" s="48">
        <v>83.13</v>
      </c>
      <c r="H57" s="48">
        <v>2240.0700000000002</v>
      </c>
      <c r="I57" s="48">
        <v>1036.02</v>
      </c>
      <c r="J57" s="48">
        <v>0</v>
      </c>
      <c r="K57" s="48">
        <v>174.22</v>
      </c>
      <c r="L57" s="48">
        <v>0</v>
      </c>
      <c r="M57" s="48"/>
      <c r="N57" s="48">
        <f t="shared" si="1"/>
        <v>31311.570000000003</v>
      </c>
      <c r="O57" s="48"/>
      <c r="P57" s="48"/>
      <c r="Q57" s="48" t="str">
        <f t="shared" si="2"/>
        <v>05313</v>
      </c>
      <c r="R57" s="48">
        <f t="shared" si="3"/>
        <v>31311.570000000003</v>
      </c>
    </row>
    <row r="58" spans="1:18">
      <c r="A58" t="s">
        <v>448</v>
      </c>
      <c r="B58" t="s">
        <v>1807</v>
      </c>
      <c r="C58" s="48">
        <v>20351.82</v>
      </c>
      <c r="D58" s="48">
        <v>413.18</v>
      </c>
      <c r="E58" s="48">
        <v>53.96</v>
      </c>
      <c r="F58" s="48">
        <v>0</v>
      </c>
      <c r="G58" s="48">
        <v>92.75</v>
      </c>
      <c r="H58" s="48">
        <v>357.67</v>
      </c>
      <c r="I58" s="48">
        <v>178.83</v>
      </c>
      <c r="J58" s="48">
        <v>0</v>
      </c>
      <c r="K58" s="48">
        <v>40.090000000000003</v>
      </c>
      <c r="L58" s="48">
        <v>0</v>
      </c>
      <c r="M58" s="48"/>
      <c r="N58" s="48">
        <f t="shared" si="1"/>
        <v>21488.3</v>
      </c>
      <c r="O58" s="48"/>
      <c r="P58" s="48"/>
      <c r="Q58" s="48" t="str">
        <f t="shared" si="2"/>
        <v>22073</v>
      </c>
      <c r="R58" s="48">
        <f t="shared" si="3"/>
        <v>21488.3</v>
      </c>
    </row>
    <row r="59" spans="1:18">
      <c r="A59" t="s">
        <v>259</v>
      </c>
      <c r="B59" t="s">
        <v>1709</v>
      </c>
      <c r="C59" s="48">
        <v>22047.67</v>
      </c>
      <c r="D59" s="48">
        <v>1.55</v>
      </c>
      <c r="E59" s="48">
        <v>0</v>
      </c>
      <c r="F59" s="48">
        <v>0</v>
      </c>
      <c r="G59" s="48">
        <v>86.84</v>
      </c>
      <c r="H59" s="48">
        <v>1464.6</v>
      </c>
      <c r="I59" s="48">
        <v>978.97</v>
      </c>
      <c r="J59" s="48">
        <v>0</v>
      </c>
      <c r="K59" s="48">
        <v>0</v>
      </c>
      <c r="L59" s="48">
        <v>0</v>
      </c>
      <c r="M59" s="48"/>
      <c r="N59" s="48">
        <f t="shared" si="1"/>
        <v>24579.629999999997</v>
      </c>
      <c r="O59" s="48"/>
      <c r="P59" s="48"/>
      <c r="Q59" s="48" t="str">
        <f t="shared" si="2"/>
        <v>10050</v>
      </c>
      <c r="R59" s="48">
        <f t="shared" si="3"/>
        <v>24579.629999999997</v>
      </c>
    </row>
    <row r="60" spans="1:18">
      <c r="A60" t="s">
        <v>501</v>
      </c>
      <c r="B60" t="s">
        <v>1833</v>
      </c>
      <c r="C60" s="48">
        <v>29765.360000000001</v>
      </c>
      <c r="D60" s="48">
        <v>960.47</v>
      </c>
      <c r="E60" s="48">
        <v>266.70999999999998</v>
      </c>
      <c r="F60" s="48">
        <v>0</v>
      </c>
      <c r="G60" s="48">
        <v>85.28</v>
      </c>
      <c r="H60" s="48">
        <v>2506.7800000000002</v>
      </c>
      <c r="I60" s="48">
        <v>1230.27</v>
      </c>
      <c r="J60" s="48">
        <v>0</v>
      </c>
      <c r="K60" s="48">
        <v>171.12</v>
      </c>
      <c r="L60" s="48">
        <v>1345.9</v>
      </c>
      <c r="M60" s="48"/>
      <c r="N60" s="48">
        <f t="shared" si="1"/>
        <v>36331.89</v>
      </c>
      <c r="O60" s="48"/>
      <c r="P60" s="48"/>
      <c r="Q60" s="48" t="str">
        <f t="shared" si="2"/>
        <v>26059</v>
      </c>
      <c r="R60" s="48">
        <f t="shared" si="3"/>
        <v>36331.89</v>
      </c>
    </row>
    <row r="61" spans="1:18">
      <c r="A61" t="s">
        <v>384</v>
      </c>
      <c r="B61" t="s">
        <v>1775</v>
      </c>
      <c r="C61" s="48">
        <v>4146.2700000000004</v>
      </c>
      <c r="D61" s="48">
        <v>0</v>
      </c>
      <c r="E61" s="48">
        <v>0</v>
      </c>
      <c r="F61" s="48">
        <v>0</v>
      </c>
      <c r="G61" s="48">
        <v>91.6</v>
      </c>
      <c r="H61" s="48">
        <v>0</v>
      </c>
      <c r="I61" s="48">
        <v>0</v>
      </c>
      <c r="J61" s="48">
        <v>0</v>
      </c>
      <c r="K61" s="48">
        <v>0</v>
      </c>
      <c r="L61" s="48">
        <v>0</v>
      </c>
      <c r="M61" s="48"/>
      <c r="N61" s="48">
        <f t="shared" si="1"/>
        <v>4237.8700000000008</v>
      </c>
      <c r="O61" s="48"/>
      <c r="P61" s="48"/>
      <c r="Q61" s="48" t="str">
        <f t="shared" si="2"/>
        <v>19007</v>
      </c>
      <c r="R61" s="48">
        <f t="shared" si="3"/>
        <v>4237.8700000000008</v>
      </c>
    </row>
    <row r="62" spans="1:18">
      <c r="A62" t="s">
        <v>586</v>
      </c>
      <c r="B62" t="s">
        <v>1875</v>
      </c>
      <c r="C62" s="48">
        <v>47905.279999999999</v>
      </c>
      <c r="D62" s="48">
        <v>1105.08</v>
      </c>
      <c r="E62" s="48">
        <v>0</v>
      </c>
      <c r="F62" s="48">
        <v>0</v>
      </c>
      <c r="G62" s="48">
        <v>101.53</v>
      </c>
      <c r="H62" s="48">
        <v>2508.88</v>
      </c>
      <c r="I62" s="48">
        <v>1607.54</v>
      </c>
      <c r="J62" s="48">
        <v>0</v>
      </c>
      <c r="K62" s="48">
        <v>205.47</v>
      </c>
      <c r="L62" s="48">
        <v>1350.27</v>
      </c>
      <c r="M62" s="48"/>
      <c r="N62" s="48">
        <f t="shared" si="1"/>
        <v>54784.049999999996</v>
      </c>
      <c r="O62" s="48"/>
      <c r="P62" s="48"/>
      <c r="Q62" s="48" t="str">
        <f t="shared" si="2"/>
        <v>31330</v>
      </c>
      <c r="R62" s="48">
        <f t="shared" si="3"/>
        <v>54784.049999999996</v>
      </c>
    </row>
    <row r="63" spans="1:18">
      <c r="A63" t="s">
        <v>456</v>
      </c>
      <c r="B63" t="s">
        <v>1811</v>
      </c>
      <c r="C63" s="48">
        <v>53026.33</v>
      </c>
      <c r="D63" s="48">
        <v>4444.68</v>
      </c>
      <c r="E63" s="48">
        <v>1239.52</v>
      </c>
      <c r="F63" s="48">
        <v>0</v>
      </c>
      <c r="G63" s="48">
        <v>89.05</v>
      </c>
      <c r="H63" s="48">
        <v>3663.04</v>
      </c>
      <c r="I63" s="48">
        <v>3021.71</v>
      </c>
      <c r="J63" s="48">
        <v>0</v>
      </c>
      <c r="K63" s="48">
        <v>294.45999999999998</v>
      </c>
      <c r="L63" s="48">
        <v>2081.2800000000002</v>
      </c>
      <c r="M63" s="48"/>
      <c r="N63" s="48">
        <f t="shared" si="1"/>
        <v>67860.070000000007</v>
      </c>
      <c r="O63" s="48"/>
      <c r="P63" s="48"/>
      <c r="Q63" s="48" t="str">
        <f t="shared" si="2"/>
        <v>22207</v>
      </c>
      <c r="R63" s="48">
        <f t="shared" si="3"/>
        <v>67860.070000000007</v>
      </c>
    </row>
    <row r="64" spans="1:18">
      <c r="A64" t="s">
        <v>229</v>
      </c>
      <c r="B64" t="s">
        <v>1694</v>
      </c>
      <c r="C64" s="48">
        <v>35289.839999999997</v>
      </c>
      <c r="D64" s="48">
        <v>2138.88</v>
      </c>
      <c r="E64" s="48">
        <v>1090.29</v>
      </c>
      <c r="F64" s="48">
        <v>0</v>
      </c>
      <c r="G64" s="48">
        <v>93.28</v>
      </c>
      <c r="H64" s="48">
        <v>1919.21</v>
      </c>
      <c r="I64" s="48">
        <v>1592.13</v>
      </c>
      <c r="J64" s="48">
        <v>22.44</v>
      </c>
      <c r="K64" s="48">
        <v>150.71</v>
      </c>
      <c r="L64" s="48">
        <v>0</v>
      </c>
      <c r="M64" s="48"/>
      <c r="N64" s="48">
        <f t="shared" si="1"/>
        <v>42296.779999999992</v>
      </c>
      <c r="O64" s="48"/>
      <c r="P64" s="48"/>
      <c r="Q64" s="48" t="str">
        <f t="shared" si="2"/>
        <v>07002</v>
      </c>
      <c r="R64" s="48">
        <f t="shared" si="3"/>
        <v>42296.779999999992</v>
      </c>
    </row>
    <row r="65" spans="1:18">
      <c r="A65" t="s">
        <v>614</v>
      </c>
      <c r="B65" t="s">
        <v>1890</v>
      </c>
      <c r="C65" s="48">
        <v>158013.70000000001</v>
      </c>
      <c r="D65" s="48">
        <v>8473.11</v>
      </c>
      <c r="E65" s="48">
        <v>0</v>
      </c>
      <c r="F65" s="48">
        <v>0</v>
      </c>
      <c r="G65" s="48">
        <v>85.19</v>
      </c>
      <c r="H65" s="48">
        <v>13400.34</v>
      </c>
      <c r="I65" s="48">
        <v>6658.55</v>
      </c>
      <c r="J65" s="48">
        <v>724.59</v>
      </c>
      <c r="K65" s="48">
        <v>1163.97</v>
      </c>
      <c r="L65" s="48">
        <v>0</v>
      </c>
      <c r="M65" s="48"/>
      <c r="N65" s="48">
        <f t="shared" si="1"/>
        <v>188519.44999999998</v>
      </c>
      <c r="O65" s="48"/>
      <c r="P65" s="48"/>
      <c r="Q65" s="48" t="str">
        <f t="shared" si="2"/>
        <v>32414</v>
      </c>
      <c r="R65" s="48">
        <f t="shared" si="3"/>
        <v>188519.44999999998</v>
      </c>
    </row>
    <row r="66" spans="1:18">
      <c r="A66" t="s">
        <v>517</v>
      </c>
      <c r="B66" t="s">
        <v>1840</v>
      </c>
      <c r="C66" s="48">
        <v>140518.39000000001</v>
      </c>
      <c r="D66" s="48">
        <v>0</v>
      </c>
      <c r="E66" s="48">
        <v>8766.52</v>
      </c>
      <c r="F66" s="48">
        <v>0</v>
      </c>
      <c r="G66" s="48">
        <v>106.01</v>
      </c>
      <c r="H66" s="48">
        <v>3625</v>
      </c>
      <c r="I66" s="48">
        <v>0</v>
      </c>
      <c r="J66" s="48">
        <v>3549.89</v>
      </c>
      <c r="K66" s="48">
        <v>724.28</v>
      </c>
      <c r="L66" s="48">
        <v>2374.9299999999998</v>
      </c>
      <c r="M66" s="48"/>
      <c r="N66" s="48">
        <f t="shared" si="1"/>
        <v>159665.02000000002</v>
      </c>
      <c r="O66" s="48"/>
      <c r="P66" s="48"/>
      <c r="Q66" s="48" t="str">
        <f t="shared" si="2"/>
        <v>27343</v>
      </c>
      <c r="R66" s="48">
        <f t="shared" si="3"/>
        <v>159665.02000000002</v>
      </c>
    </row>
    <row r="67" spans="1:18">
      <c r="A67" t="s">
        <v>658</v>
      </c>
      <c r="B67" t="s">
        <v>1914</v>
      </c>
      <c r="C67" s="48">
        <v>3543.42</v>
      </c>
      <c r="D67" s="48">
        <v>0</v>
      </c>
      <c r="E67" s="48">
        <v>0</v>
      </c>
      <c r="F67" s="48">
        <v>0</v>
      </c>
      <c r="G67" s="48">
        <v>104.55</v>
      </c>
      <c r="H67" s="48">
        <v>145.91</v>
      </c>
      <c r="I67" s="48">
        <v>67.34</v>
      </c>
      <c r="J67" s="48">
        <v>0</v>
      </c>
      <c r="K67" s="48">
        <v>0</v>
      </c>
      <c r="L67" s="48">
        <v>0</v>
      </c>
      <c r="M67" s="48"/>
      <c r="N67" s="48">
        <f t="shared" si="1"/>
        <v>3861.2200000000003</v>
      </c>
      <c r="O67" s="48"/>
      <c r="P67" s="48"/>
      <c r="Q67" s="48" t="str">
        <f t="shared" si="2"/>
        <v>36101</v>
      </c>
      <c r="R67" s="48">
        <f t="shared" si="3"/>
        <v>3861.2200000000003</v>
      </c>
    </row>
    <row r="68" spans="1:18">
      <c r="A68" t="s">
        <v>610</v>
      </c>
      <c r="B68" t="s">
        <v>1887</v>
      </c>
      <c r="C68" s="48">
        <v>261452.66</v>
      </c>
      <c r="D68" s="48">
        <v>17372.349999999999</v>
      </c>
      <c r="E68" s="48">
        <v>2416.2600000000002</v>
      </c>
      <c r="F68" s="48">
        <v>0</v>
      </c>
      <c r="G68" s="48">
        <v>92.09</v>
      </c>
      <c r="H68" s="48">
        <v>19020.599999999999</v>
      </c>
      <c r="I68" s="48">
        <v>13121.85</v>
      </c>
      <c r="J68" s="48">
        <v>5529.97</v>
      </c>
      <c r="K68" s="48">
        <v>1536.01</v>
      </c>
      <c r="L68" s="48">
        <v>0</v>
      </c>
      <c r="M68" s="48"/>
      <c r="N68" s="48">
        <f t="shared" si="1"/>
        <v>320541.78999999998</v>
      </c>
      <c r="O68" s="48"/>
      <c r="P68" s="48"/>
      <c r="Q68" s="48" t="str">
        <f t="shared" si="2"/>
        <v>32361</v>
      </c>
      <c r="R68" s="48">
        <f t="shared" si="3"/>
        <v>320541.78999999998</v>
      </c>
    </row>
    <row r="69" spans="1:18">
      <c r="A69" t="s">
        <v>717</v>
      </c>
      <c r="B69" t="s">
        <v>1945</v>
      </c>
      <c r="C69" s="48">
        <v>242240.71</v>
      </c>
      <c r="D69" s="48">
        <v>21753.21</v>
      </c>
      <c r="E69" s="48">
        <v>9687.9599999999991</v>
      </c>
      <c r="F69" s="48">
        <v>0</v>
      </c>
      <c r="G69" s="48">
        <v>87.95</v>
      </c>
      <c r="H69" s="48">
        <v>20046.55</v>
      </c>
      <c r="I69" s="48">
        <v>15190.24</v>
      </c>
      <c r="J69" s="48">
        <v>11499.44</v>
      </c>
      <c r="K69" s="48">
        <v>1433.77</v>
      </c>
      <c r="L69" s="48">
        <v>11072.4</v>
      </c>
      <c r="M69" s="48"/>
      <c r="N69" s="48">
        <f t="shared" ref="N69:N132" si="4">SUM(C69:M69)</f>
        <v>333012.23000000004</v>
      </c>
      <c r="O69" s="48"/>
      <c r="P69" s="48"/>
      <c r="Q69" s="48" t="str">
        <f t="shared" si="2"/>
        <v>39090</v>
      </c>
      <c r="R69" s="48">
        <f t="shared" si="3"/>
        <v>333012.23000000004</v>
      </c>
    </row>
    <row r="70" spans="1:18">
      <c r="A70" t="s">
        <v>251</v>
      </c>
      <c r="B70" t="s">
        <v>1705</v>
      </c>
      <c r="C70" s="48">
        <v>429816.26</v>
      </c>
      <c r="D70" s="48">
        <v>35084.18</v>
      </c>
      <c r="E70" s="48">
        <v>10750.18</v>
      </c>
      <c r="F70" s="48">
        <v>0</v>
      </c>
      <c r="G70" s="48">
        <v>88.09</v>
      </c>
      <c r="H70" s="48">
        <v>33544.03</v>
      </c>
      <c r="I70" s="48">
        <v>26307.35</v>
      </c>
      <c r="J70" s="48">
        <v>29193.39</v>
      </c>
      <c r="K70" s="48">
        <v>2539.16</v>
      </c>
      <c r="L70" s="48">
        <v>7975.15</v>
      </c>
      <c r="M70" s="48"/>
      <c r="N70" s="48">
        <f t="shared" si="4"/>
        <v>575297.79</v>
      </c>
      <c r="O70" s="48"/>
      <c r="P70" s="48"/>
      <c r="Q70" s="48" t="str">
        <f t="shared" ref="Q70:Q133" si="5">TEXT(A70, "00000")</f>
        <v>09206</v>
      </c>
      <c r="R70" s="48">
        <f t="shared" ref="R70:R133" si="6">N70</f>
        <v>575297.79</v>
      </c>
    </row>
    <row r="71" spans="1:18">
      <c r="A71" t="s">
        <v>386</v>
      </c>
      <c r="B71" t="s">
        <v>1776</v>
      </c>
      <c r="C71" s="48">
        <v>21683.77</v>
      </c>
      <c r="D71" s="48">
        <v>200.29</v>
      </c>
      <c r="E71" s="48">
        <v>37.99</v>
      </c>
      <c r="F71" s="48">
        <v>0</v>
      </c>
      <c r="G71" s="48">
        <v>97.15</v>
      </c>
      <c r="H71" s="48">
        <v>718.3</v>
      </c>
      <c r="I71" s="48">
        <v>424.76</v>
      </c>
      <c r="J71" s="48">
        <v>0</v>
      </c>
      <c r="K71" s="48">
        <v>0</v>
      </c>
      <c r="L71" s="48">
        <v>0</v>
      </c>
      <c r="M71" s="48"/>
      <c r="N71" s="48">
        <f t="shared" si="4"/>
        <v>23162.260000000002</v>
      </c>
      <c r="O71" s="48"/>
      <c r="P71" s="48"/>
      <c r="Q71" s="48" t="str">
        <f t="shared" si="5"/>
        <v>19028</v>
      </c>
      <c r="R71" s="48">
        <f t="shared" si="6"/>
        <v>23162.260000000002</v>
      </c>
    </row>
    <row r="72" spans="1:18">
      <c r="A72" t="s">
        <v>529</v>
      </c>
      <c r="B72" t="s">
        <v>1846</v>
      </c>
      <c r="C72" s="48">
        <v>142863.54</v>
      </c>
      <c r="D72" s="48">
        <v>10390.969999999999</v>
      </c>
      <c r="E72" s="48">
        <v>5864.58</v>
      </c>
      <c r="F72" s="48">
        <v>0</v>
      </c>
      <c r="G72" s="48">
        <v>88.37</v>
      </c>
      <c r="H72" s="48">
        <v>8584.1200000000008</v>
      </c>
      <c r="I72" s="48">
        <v>1009.8</v>
      </c>
      <c r="J72" s="48">
        <v>667.55</v>
      </c>
      <c r="K72" s="48">
        <v>854.09</v>
      </c>
      <c r="L72" s="48">
        <v>5576.28</v>
      </c>
      <c r="M72" s="48"/>
      <c r="N72" s="48">
        <f t="shared" si="4"/>
        <v>175899.29999999996</v>
      </c>
      <c r="O72" s="48"/>
      <c r="P72" s="48"/>
      <c r="Q72" s="48" t="str">
        <f t="shared" si="5"/>
        <v>27404</v>
      </c>
      <c r="R72" s="48">
        <f t="shared" si="6"/>
        <v>175899.29999999996</v>
      </c>
    </row>
    <row r="73" spans="1:18">
      <c r="A73" t="s">
        <v>570</v>
      </c>
      <c r="B73" t="s">
        <v>1867</v>
      </c>
      <c r="C73" s="48">
        <v>1800466.11</v>
      </c>
      <c r="D73" s="48">
        <v>95109.119999999995</v>
      </c>
      <c r="E73" s="48">
        <v>10371.209999999999</v>
      </c>
      <c r="F73" s="48">
        <v>0</v>
      </c>
      <c r="G73" s="48">
        <v>104.06</v>
      </c>
      <c r="H73" s="48">
        <v>97252.13</v>
      </c>
      <c r="I73" s="48">
        <v>26056.27</v>
      </c>
      <c r="J73" s="48">
        <v>114712.73</v>
      </c>
      <c r="K73" s="48">
        <v>10411.24</v>
      </c>
      <c r="L73" s="48">
        <v>0</v>
      </c>
      <c r="M73" s="48"/>
      <c r="N73" s="48">
        <f t="shared" si="4"/>
        <v>2154482.87</v>
      </c>
      <c r="O73" s="48"/>
      <c r="P73" s="48"/>
      <c r="Q73" s="48" t="str">
        <f t="shared" si="5"/>
        <v>31015</v>
      </c>
      <c r="R73" s="48">
        <f t="shared" si="6"/>
        <v>2154482.87</v>
      </c>
    </row>
    <row r="74" spans="1:18">
      <c r="A74" t="s">
        <v>390</v>
      </c>
      <c r="B74" t="s">
        <v>1778</v>
      </c>
      <c r="C74" s="48">
        <v>240490.89</v>
      </c>
      <c r="D74" s="48">
        <v>16747.349999999999</v>
      </c>
      <c r="E74" s="48">
        <v>2472.87</v>
      </c>
      <c r="F74" s="48">
        <v>0</v>
      </c>
      <c r="G74" s="48">
        <v>87.66</v>
      </c>
      <c r="H74" s="48">
        <v>14659.91</v>
      </c>
      <c r="I74" s="48">
        <v>7350.77</v>
      </c>
      <c r="J74" s="48">
        <v>5556.24</v>
      </c>
      <c r="K74" s="48">
        <v>1430.69</v>
      </c>
      <c r="L74" s="48">
        <v>4611.1899999999996</v>
      </c>
      <c r="M74" s="48"/>
      <c r="N74" s="48">
        <f t="shared" si="4"/>
        <v>293407.57</v>
      </c>
      <c r="O74" s="48"/>
      <c r="P74" s="48"/>
      <c r="Q74" s="48" t="str">
        <f t="shared" si="5"/>
        <v>19401</v>
      </c>
      <c r="R74" s="48">
        <f t="shared" si="6"/>
        <v>293407.57</v>
      </c>
    </row>
    <row r="75" spans="1:18">
      <c r="A75" t="s">
        <v>307</v>
      </c>
      <c r="B75" t="s">
        <v>1733</v>
      </c>
      <c r="C75" s="48">
        <v>95011.11</v>
      </c>
      <c r="D75" s="48">
        <v>27998.59</v>
      </c>
      <c r="E75" s="48">
        <v>4048.47</v>
      </c>
      <c r="F75" s="48">
        <v>0</v>
      </c>
      <c r="G75" s="48">
        <v>86.97</v>
      </c>
      <c r="H75" s="48">
        <v>9959.2999999999993</v>
      </c>
      <c r="I75" s="48">
        <v>7138.01</v>
      </c>
      <c r="J75" s="48">
        <v>3370.13</v>
      </c>
      <c r="K75" s="48">
        <v>695.31</v>
      </c>
      <c r="L75" s="48">
        <v>1173.23</v>
      </c>
      <c r="M75" s="48"/>
      <c r="N75" s="48">
        <f t="shared" si="4"/>
        <v>149481.12000000002</v>
      </c>
      <c r="O75" s="48"/>
      <c r="P75" s="48"/>
      <c r="Q75" s="48" t="str">
        <f t="shared" si="5"/>
        <v>14068</v>
      </c>
      <c r="R75" s="48">
        <f t="shared" si="6"/>
        <v>149481.12000000002</v>
      </c>
    </row>
    <row r="76" spans="1:18">
      <c r="A76" t="s">
        <v>703</v>
      </c>
      <c r="B76" t="s">
        <v>1938</v>
      </c>
      <c r="C76" s="48">
        <v>19548.599999999999</v>
      </c>
      <c r="D76" s="48">
        <v>0</v>
      </c>
      <c r="E76" s="48">
        <v>0</v>
      </c>
      <c r="F76" s="48">
        <v>0</v>
      </c>
      <c r="G76" s="48">
        <v>86.3</v>
      </c>
      <c r="H76" s="48">
        <v>474.84</v>
      </c>
      <c r="I76" s="48">
        <v>326.83999999999997</v>
      </c>
      <c r="J76" s="48">
        <v>0</v>
      </c>
      <c r="K76" s="48">
        <v>0</v>
      </c>
      <c r="L76" s="48">
        <v>0</v>
      </c>
      <c r="M76" s="48"/>
      <c r="N76" s="48">
        <f t="shared" si="4"/>
        <v>20436.579999999998</v>
      </c>
      <c r="O76" s="48"/>
      <c r="P76" s="48"/>
      <c r="Q76" s="48" t="str">
        <f t="shared" si="5"/>
        <v>38308</v>
      </c>
      <c r="R76" s="48">
        <f t="shared" si="6"/>
        <v>20436.579999999998</v>
      </c>
    </row>
    <row r="77" spans="1:18">
      <c r="A77" t="s">
        <v>193</v>
      </c>
      <c r="B77" t="s">
        <v>1674</v>
      </c>
      <c r="C77" s="48">
        <v>41664.78</v>
      </c>
      <c r="D77" s="48">
        <v>2233.48</v>
      </c>
      <c r="E77" s="48">
        <v>2360.14</v>
      </c>
      <c r="F77" s="48">
        <v>0</v>
      </c>
      <c r="G77" s="48">
        <v>93.25</v>
      </c>
      <c r="H77" s="48">
        <v>2722.5</v>
      </c>
      <c r="I77" s="48">
        <v>1899.98</v>
      </c>
      <c r="J77" s="48">
        <v>3182.66</v>
      </c>
      <c r="K77" s="48">
        <v>187.59</v>
      </c>
      <c r="L77" s="48">
        <v>0</v>
      </c>
      <c r="M77" s="48"/>
      <c r="N77" s="48">
        <f t="shared" si="4"/>
        <v>54344.380000000005</v>
      </c>
      <c r="O77" s="48"/>
      <c r="P77" s="48"/>
      <c r="Q77" s="48" t="str">
        <f t="shared" si="5"/>
        <v>04127</v>
      </c>
      <c r="R77" s="48">
        <f t="shared" si="6"/>
        <v>54344.380000000005</v>
      </c>
    </row>
    <row r="78" spans="1:18">
      <c r="A78" t="s">
        <v>342</v>
      </c>
      <c r="B78" t="s">
        <v>1751</v>
      </c>
      <c r="C78" s="48">
        <v>364737.32</v>
      </c>
      <c r="D78" s="48">
        <v>44161.82</v>
      </c>
      <c r="E78" s="48">
        <v>16443.27</v>
      </c>
      <c r="F78" s="48">
        <v>0</v>
      </c>
      <c r="G78" s="48">
        <v>99.18</v>
      </c>
      <c r="H78" s="48">
        <v>14830.53</v>
      </c>
      <c r="I78" s="48">
        <v>0</v>
      </c>
      <c r="J78" s="48">
        <v>9400.1</v>
      </c>
      <c r="K78" s="48">
        <v>2170.4499999999998</v>
      </c>
      <c r="L78" s="48">
        <v>4976.32</v>
      </c>
      <c r="M78" s="48"/>
      <c r="N78" s="48">
        <f t="shared" si="4"/>
        <v>456818.99000000005</v>
      </c>
      <c r="O78" s="48"/>
      <c r="P78" s="48"/>
      <c r="Q78" s="48" t="str">
        <f t="shared" si="5"/>
        <v>17216</v>
      </c>
      <c r="R78" s="48">
        <f t="shared" si="6"/>
        <v>456818.99000000005</v>
      </c>
    </row>
    <row r="79" spans="1:18">
      <c r="A79" t="s">
        <v>291</v>
      </c>
      <c r="B79" t="s">
        <v>1725</v>
      </c>
      <c r="C79" s="48">
        <v>209547.25</v>
      </c>
      <c r="D79" s="48">
        <v>19395.78</v>
      </c>
      <c r="E79" s="48">
        <v>3886.53</v>
      </c>
      <c r="F79" s="48">
        <v>0</v>
      </c>
      <c r="G79" s="48">
        <v>91.01</v>
      </c>
      <c r="H79" s="48">
        <v>16285.28</v>
      </c>
      <c r="I79" s="48">
        <v>12727.44</v>
      </c>
      <c r="J79" s="48">
        <v>11837.57</v>
      </c>
      <c r="K79" s="48">
        <v>1237.79</v>
      </c>
      <c r="L79" s="48">
        <v>0</v>
      </c>
      <c r="M79" s="48"/>
      <c r="N79" s="48">
        <f t="shared" si="4"/>
        <v>275008.64999999997</v>
      </c>
      <c r="O79" s="48"/>
      <c r="P79" s="48"/>
      <c r="Q79" s="48" t="str">
        <f t="shared" si="5"/>
        <v>13165</v>
      </c>
      <c r="R79" s="48">
        <f t="shared" si="6"/>
        <v>275008.64999999997</v>
      </c>
    </row>
    <row r="80" spans="1:18">
      <c r="A80" t="s">
        <v>1500</v>
      </c>
      <c r="B80" t="s">
        <v>1582</v>
      </c>
      <c r="C80" s="48">
        <v>0</v>
      </c>
      <c r="D80" s="48">
        <v>0</v>
      </c>
      <c r="E80" s="48">
        <v>0</v>
      </c>
      <c r="F80" s="48">
        <v>0</v>
      </c>
      <c r="G80" s="48">
        <v>0</v>
      </c>
      <c r="H80" s="48">
        <v>0</v>
      </c>
      <c r="I80" s="48">
        <v>0</v>
      </c>
      <c r="J80" s="48">
        <v>0</v>
      </c>
      <c r="K80" s="48">
        <v>0</v>
      </c>
      <c r="L80" s="48">
        <v>0</v>
      </c>
      <c r="M80" s="48"/>
      <c r="N80" s="48">
        <f t="shared" si="4"/>
        <v>0</v>
      </c>
      <c r="O80" s="48"/>
      <c r="P80" s="48"/>
      <c r="Q80" s="48" t="str">
        <f t="shared" si="5"/>
        <v>06701</v>
      </c>
      <c r="R80" s="48">
        <f t="shared" si="6"/>
        <v>0</v>
      </c>
    </row>
    <row r="81" spans="1:18">
      <c r="A81" t="s">
        <v>766</v>
      </c>
      <c r="B81" t="s">
        <v>2632</v>
      </c>
      <c r="C81" s="48">
        <v>0</v>
      </c>
      <c r="D81" s="48">
        <v>0</v>
      </c>
      <c r="E81" s="48">
        <v>0</v>
      </c>
      <c r="F81" s="48">
        <v>0</v>
      </c>
      <c r="G81" s="48">
        <v>0</v>
      </c>
      <c r="H81" s="48">
        <v>0</v>
      </c>
      <c r="I81" s="48">
        <v>0</v>
      </c>
      <c r="J81" s="48">
        <v>0</v>
      </c>
      <c r="K81" s="48">
        <v>0</v>
      </c>
      <c r="L81" s="48">
        <v>0</v>
      </c>
      <c r="M81" s="48"/>
      <c r="N81" s="48">
        <f t="shared" si="4"/>
        <v>0</v>
      </c>
      <c r="O81" s="48"/>
      <c r="P81" s="48"/>
      <c r="Q81" s="48" t="str">
        <f t="shared" si="5"/>
        <v>32801</v>
      </c>
      <c r="R81" s="48">
        <f t="shared" si="6"/>
        <v>0</v>
      </c>
    </row>
    <row r="82" spans="1:18">
      <c r="A82" t="s">
        <v>768</v>
      </c>
      <c r="B82" t="s">
        <v>2634</v>
      </c>
      <c r="C82" s="48">
        <v>0</v>
      </c>
      <c r="D82" s="48">
        <v>0</v>
      </c>
      <c r="E82" s="48">
        <v>0</v>
      </c>
      <c r="F82" s="48">
        <v>0</v>
      </c>
      <c r="G82" s="48">
        <v>0</v>
      </c>
      <c r="H82" s="48">
        <v>0</v>
      </c>
      <c r="I82" s="48">
        <v>0</v>
      </c>
      <c r="J82" s="48">
        <v>0</v>
      </c>
      <c r="K82" s="48">
        <v>0</v>
      </c>
      <c r="L82" s="48">
        <v>0</v>
      </c>
      <c r="M82" s="48"/>
      <c r="N82" s="48">
        <f t="shared" si="4"/>
        <v>0</v>
      </c>
      <c r="O82" s="48"/>
      <c r="P82" s="48"/>
      <c r="Q82" s="48" t="str">
        <f t="shared" si="5"/>
        <v>39801</v>
      </c>
      <c r="R82" s="48">
        <f t="shared" si="6"/>
        <v>0</v>
      </c>
    </row>
    <row r="83" spans="1:18">
      <c r="A83" t="s">
        <v>761</v>
      </c>
      <c r="B83" t="s">
        <v>2627</v>
      </c>
      <c r="C83" s="48">
        <v>0</v>
      </c>
      <c r="D83" s="48">
        <v>0</v>
      </c>
      <c r="E83" s="48">
        <v>0</v>
      </c>
      <c r="F83" s="48">
        <v>0</v>
      </c>
      <c r="G83" s="48">
        <v>0</v>
      </c>
      <c r="H83" s="48">
        <v>0</v>
      </c>
      <c r="I83" s="48">
        <v>0</v>
      </c>
      <c r="J83" s="48">
        <v>0</v>
      </c>
      <c r="K83" s="48">
        <v>0</v>
      </c>
      <c r="L83" s="48">
        <v>0</v>
      </c>
      <c r="M83" s="48"/>
      <c r="N83" s="48">
        <f t="shared" si="4"/>
        <v>0</v>
      </c>
      <c r="O83" s="48"/>
      <c r="P83" s="48"/>
      <c r="Q83" s="48" t="str">
        <f t="shared" si="5"/>
        <v>06801</v>
      </c>
      <c r="R83" s="48">
        <f t="shared" si="6"/>
        <v>0</v>
      </c>
    </row>
    <row r="84" spans="1:18">
      <c r="A84" t="s">
        <v>767</v>
      </c>
      <c r="B84" t="s">
        <v>2633</v>
      </c>
      <c r="C84" s="48">
        <v>0</v>
      </c>
      <c r="D84" s="48">
        <v>0</v>
      </c>
      <c r="E84" s="48">
        <v>0</v>
      </c>
      <c r="F84" s="48">
        <v>0</v>
      </c>
      <c r="G84" s="48">
        <v>0</v>
      </c>
      <c r="H84" s="48">
        <v>0</v>
      </c>
      <c r="I84" s="48">
        <v>0</v>
      </c>
      <c r="J84" s="48">
        <v>0</v>
      </c>
      <c r="K84" s="48">
        <v>0</v>
      </c>
      <c r="L84" s="48">
        <v>0</v>
      </c>
      <c r="M84" s="48"/>
      <c r="N84" s="48">
        <f t="shared" si="4"/>
        <v>0</v>
      </c>
      <c r="O84" s="48"/>
      <c r="P84" s="48"/>
      <c r="Q84" s="48" t="str">
        <f t="shared" si="5"/>
        <v>34801</v>
      </c>
      <c r="R84" s="48">
        <f t="shared" si="6"/>
        <v>0</v>
      </c>
    </row>
    <row r="85" spans="1:18">
      <c r="A85" t="s">
        <v>764</v>
      </c>
      <c r="B85" t="s">
        <v>2630</v>
      </c>
      <c r="C85" s="48">
        <v>0</v>
      </c>
      <c r="D85" s="48">
        <v>0</v>
      </c>
      <c r="E85" s="48">
        <v>0</v>
      </c>
      <c r="F85" s="48">
        <v>0</v>
      </c>
      <c r="G85" s="48">
        <v>0</v>
      </c>
      <c r="H85" s="48">
        <v>0</v>
      </c>
      <c r="I85" s="48">
        <v>0</v>
      </c>
      <c r="J85" s="48">
        <v>0</v>
      </c>
      <c r="K85" s="48">
        <v>0</v>
      </c>
      <c r="L85" s="48">
        <v>0</v>
      </c>
      <c r="M85" s="48"/>
      <c r="N85" s="48">
        <f t="shared" si="4"/>
        <v>0</v>
      </c>
      <c r="O85" s="48"/>
      <c r="P85" s="48"/>
      <c r="Q85" s="48" t="str">
        <f t="shared" si="5"/>
        <v>18801</v>
      </c>
      <c r="R85" s="48">
        <f t="shared" si="6"/>
        <v>0</v>
      </c>
    </row>
    <row r="86" spans="1:18">
      <c r="A86" t="s">
        <v>763</v>
      </c>
      <c r="B86" t="s">
        <v>2629</v>
      </c>
      <c r="C86" s="48">
        <v>0</v>
      </c>
      <c r="D86" s="48">
        <v>0</v>
      </c>
      <c r="E86" s="48">
        <v>0</v>
      </c>
      <c r="F86" s="48">
        <v>0</v>
      </c>
      <c r="G86" s="48">
        <v>0</v>
      </c>
      <c r="H86" s="48">
        <v>0</v>
      </c>
      <c r="I86" s="48">
        <v>0</v>
      </c>
      <c r="J86" s="48">
        <v>0</v>
      </c>
      <c r="K86" s="48">
        <v>0</v>
      </c>
      <c r="L86" s="48">
        <v>0</v>
      </c>
      <c r="M86" s="48"/>
      <c r="N86" s="48">
        <f t="shared" si="4"/>
        <v>0</v>
      </c>
      <c r="O86" s="48"/>
      <c r="P86" s="48"/>
      <c r="Q86" s="48" t="str">
        <f t="shared" si="5"/>
        <v>17801</v>
      </c>
      <c r="R86" s="48">
        <f t="shared" si="6"/>
        <v>0</v>
      </c>
    </row>
    <row r="87" spans="1:18">
      <c r="A87" t="s">
        <v>762</v>
      </c>
      <c r="B87" t="s">
        <v>2628</v>
      </c>
      <c r="C87" s="48">
        <v>0</v>
      </c>
      <c r="D87" s="48">
        <v>0</v>
      </c>
      <c r="E87" s="48">
        <v>0</v>
      </c>
      <c r="F87" s="48">
        <v>0</v>
      </c>
      <c r="G87" s="48">
        <v>0</v>
      </c>
      <c r="H87" s="48">
        <v>0</v>
      </c>
      <c r="I87" s="48">
        <v>0</v>
      </c>
      <c r="J87" s="48">
        <v>0</v>
      </c>
      <c r="K87" s="48">
        <v>0</v>
      </c>
      <c r="L87" s="48">
        <v>0</v>
      </c>
      <c r="M87" s="48"/>
      <c r="N87" s="48">
        <f t="shared" si="4"/>
        <v>0</v>
      </c>
      <c r="O87" s="48"/>
      <c r="P87" s="48"/>
      <c r="Q87" s="48" t="str">
        <f t="shared" si="5"/>
        <v>11801</v>
      </c>
      <c r="R87" s="48">
        <f t="shared" si="6"/>
        <v>0</v>
      </c>
    </row>
    <row r="88" spans="1:18">
      <c r="A88" t="s">
        <v>760</v>
      </c>
      <c r="B88" t="s">
        <v>2672</v>
      </c>
      <c r="C88" s="48">
        <v>0</v>
      </c>
      <c r="D88" s="48">
        <v>0</v>
      </c>
      <c r="E88" s="48">
        <v>0</v>
      </c>
      <c r="F88" s="48">
        <v>0</v>
      </c>
      <c r="G88" s="48">
        <v>0</v>
      </c>
      <c r="H88" s="48">
        <v>0</v>
      </c>
      <c r="I88" s="48">
        <v>0</v>
      </c>
      <c r="J88" s="48">
        <v>0</v>
      </c>
      <c r="K88" s="48">
        <v>0</v>
      </c>
      <c r="L88" s="48">
        <v>0</v>
      </c>
      <c r="M88" s="48"/>
      <c r="N88" s="48">
        <f t="shared" si="4"/>
        <v>0</v>
      </c>
      <c r="O88" s="48"/>
      <c r="P88" s="48"/>
      <c r="Q88" s="48" t="str">
        <f t="shared" si="5"/>
        <v>04801</v>
      </c>
      <c r="R88" s="48">
        <f t="shared" si="6"/>
        <v>0</v>
      </c>
    </row>
    <row r="89" spans="1:18">
      <c r="A89" t="s">
        <v>765</v>
      </c>
      <c r="B89" t="s">
        <v>2631</v>
      </c>
      <c r="C89" s="48">
        <v>0</v>
      </c>
      <c r="D89" s="48">
        <v>0</v>
      </c>
      <c r="E89" s="48">
        <v>0</v>
      </c>
      <c r="F89" s="48">
        <v>0</v>
      </c>
      <c r="G89" s="48">
        <v>0</v>
      </c>
      <c r="H89" s="48">
        <v>0</v>
      </c>
      <c r="I89" s="48">
        <v>0</v>
      </c>
      <c r="J89" s="48">
        <v>0</v>
      </c>
      <c r="K89" s="48">
        <v>0</v>
      </c>
      <c r="L89" s="48">
        <v>0</v>
      </c>
      <c r="M89" s="48"/>
      <c r="N89" s="48">
        <f t="shared" si="4"/>
        <v>0</v>
      </c>
      <c r="O89" s="48"/>
      <c r="P89" s="48"/>
      <c r="Q89" s="48" t="str">
        <f t="shared" si="5"/>
        <v>29801</v>
      </c>
      <c r="R89" s="48">
        <f t="shared" si="6"/>
        <v>0</v>
      </c>
    </row>
    <row r="90" spans="1:18">
      <c r="A90" t="s">
        <v>418</v>
      </c>
      <c r="B90" t="s">
        <v>1792</v>
      </c>
      <c r="C90" s="48">
        <v>6660.09</v>
      </c>
      <c r="D90" s="48">
        <v>0</v>
      </c>
      <c r="E90" s="48">
        <v>0</v>
      </c>
      <c r="F90" s="48">
        <v>0</v>
      </c>
      <c r="G90" s="48">
        <v>95.96</v>
      </c>
      <c r="H90" s="48">
        <v>269.79000000000002</v>
      </c>
      <c r="I90" s="48">
        <v>243.59</v>
      </c>
      <c r="J90" s="48">
        <v>38.54</v>
      </c>
      <c r="K90" s="48">
        <v>27.75</v>
      </c>
      <c r="L90" s="48">
        <v>630.54999999999995</v>
      </c>
      <c r="M90" s="48"/>
      <c r="N90" s="48">
        <f t="shared" si="4"/>
        <v>7966.27</v>
      </c>
      <c r="O90" s="48"/>
      <c r="P90" s="48"/>
      <c r="Q90" s="48" t="str">
        <f t="shared" si="5"/>
        <v>21036</v>
      </c>
      <c r="R90" s="48">
        <f t="shared" si="6"/>
        <v>7966.27</v>
      </c>
    </row>
    <row r="91" spans="1:18">
      <c r="A91" t="s">
        <v>564</v>
      </c>
      <c r="B91" t="s">
        <v>1864</v>
      </c>
      <c r="C91" s="48">
        <v>1871754.75</v>
      </c>
      <c r="D91" s="48">
        <v>128511.3</v>
      </c>
      <c r="E91" s="48">
        <v>7469.6</v>
      </c>
      <c r="F91" s="48">
        <v>0</v>
      </c>
      <c r="G91" s="48">
        <v>104.89</v>
      </c>
      <c r="H91" s="48">
        <v>107103.05</v>
      </c>
      <c r="I91" s="48">
        <v>54144.59</v>
      </c>
      <c r="J91" s="48">
        <v>117230.49</v>
      </c>
      <c r="K91" s="48">
        <v>10453.08</v>
      </c>
      <c r="L91" s="48">
        <v>6416.28</v>
      </c>
      <c r="M91" s="48"/>
      <c r="N91" s="48">
        <f t="shared" si="4"/>
        <v>2303188.0299999998</v>
      </c>
      <c r="O91" s="48"/>
      <c r="P91" s="48"/>
      <c r="Q91" s="48" t="str">
        <f t="shared" si="5"/>
        <v>31002</v>
      </c>
      <c r="R91" s="48">
        <f t="shared" si="6"/>
        <v>2303188.0299999998</v>
      </c>
    </row>
    <row r="92" spans="1:18">
      <c r="A92" t="s">
        <v>222</v>
      </c>
      <c r="B92" t="s">
        <v>1690</v>
      </c>
      <c r="C92" s="48">
        <v>1703402.62</v>
      </c>
      <c r="D92" s="48">
        <v>186659.48</v>
      </c>
      <c r="E92" s="48">
        <v>20034.84</v>
      </c>
      <c r="F92" s="48">
        <v>108456.78</v>
      </c>
      <c r="G92" s="48">
        <v>96.02</v>
      </c>
      <c r="H92" s="48">
        <v>129397.2</v>
      </c>
      <c r="I92" s="48">
        <v>66954.09</v>
      </c>
      <c r="J92" s="48">
        <v>103947.5</v>
      </c>
      <c r="K92" s="48">
        <v>10468.52</v>
      </c>
      <c r="L92" s="48">
        <v>10599.1</v>
      </c>
      <c r="M92" s="48"/>
      <c r="N92" s="48">
        <f t="shared" si="4"/>
        <v>2340016.1500000004</v>
      </c>
      <c r="O92" s="48"/>
      <c r="P92" s="48"/>
      <c r="Q92" s="48" t="str">
        <f t="shared" si="5"/>
        <v>06114</v>
      </c>
      <c r="R92" s="48">
        <f t="shared" si="6"/>
        <v>2340016.1500000004</v>
      </c>
    </row>
    <row r="93" spans="1:18">
      <c r="A93" t="s">
        <v>632</v>
      </c>
      <c r="B93" t="s">
        <v>1899</v>
      </c>
      <c r="C93" s="48">
        <v>4256.6000000000004</v>
      </c>
      <c r="D93" s="48">
        <v>0</v>
      </c>
      <c r="E93" s="48">
        <v>0</v>
      </c>
      <c r="F93" s="48">
        <v>0</v>
      </c>
      <c r="G93" s="48">
        <v>100.18</v>
      </c>
      <c r="H93" s="48">
        <v>379.25</v>
      </c>
      <c r="I93" s="48">
        <v>174.22</v>
      </c>
      <c r="J93" s="48">
        <v>0</v>
      </c>
      <c r="K93" s="48">
        <v>13.87</v>
      </c>
      <c r="L93" s="48">
        <v>0</v>
      </c>
      <c r="M93" s="48"/>
      <c r="N93" s="48">
        <f t="shared" si="4"/>
        <v>4924.1200000000008</v>
      </c>
      <c r="O93" s="48"/>
      <c r="P93" s="48"/>
      <c r="Q93" s="48" t="str">
        <f t="shared" si="5"/>
        <v>33205</v>
      </c>
      <c r="R93" s="48">
        <f t="shared" si="6"/>
        <v>4924.1200000000008</v>
      </c>
    </row>
    <row r="94" spans="1:18">
      <c r="A94" t="s">
        <v>340</v>
      </c>
      <c r="B94" t="s">
        <v>1750</v>
      </c>
      <c r="C94" s="48">
        <v>1846765.54</v>
      </c>
      <c r="D94" s="48">
        <v>111045.15</v>
      </c>
      <c r="E94" s="48">
        <v>11441.05</v>
      </c>
      <c r="F94" s="48">
        <v>0</v>
      </c>
      <c r="G94" s="48">
        <v>99.2</v>
      </c>
      <c r="H94" s="48">
        <v>169994.34</v>
      </c>
      <c r="I94" s="48">
        <v>106143.07</v>
      </c>
      <c r="J94" s="48">
        <v>191598.68</v>
      </c>
      <c r="K94" s="48">
        <v>10373.950000000001</v>
      </c>
      <c r="L94" s="48">
        <v>14255.55</v>
      </c>
      <c r="M94" s="48"/>
      <c r="N94" s="48">
        <f t="shared" si="4"/>
        <v>2461716.5299999998</v>
      </c>
      <c r="O94" s="48"/>
      <c r="P94" s="48"/>
      <c r="Q94" s="48" t="str">
        <f t="shared" si="5"/>
        <v>17210</v>
      </c>
      <c r="R94" s="48">
        <f t="shared" si="6"/>
        <v>2461716.5299999998</v>
      </c>
    </row>
    <row r="95" spans="1:18">
      <c r="A95" t="s">
        <v>673</v>
      </c>
      <c r="B95" t="s">
        <v>1922</v>
      </c>
      <c r="C95" s="48">
        <v>352610.5</v>
      </c>
      <c r="D95" s="48">
        <v>37460.51</v>
      </c>
      <c r="E95" s="48">
        <v>8030.41</v>
      </c>
      <c r="F95" s="48">
        <v>0</v>
      </c>
      <c r="G95" s="48">
        <v>93.85</v>
      </c>
      <c r="H95" s="48">
        <v>25442.69</v>
      </c>
      <c r="I95" s="48">
        <v>14127.56</v>
      </c>
      <c r="J95" s="48">
        <v>13001.6</v>
      </c>
      <c r="K95" s="48">
        <v>2129.35</v>
      </c>
      <c r="L95" s="48">
        <v>12323.42</v>
      </c>
      <c r="M95" s="48"/>
      <c r="N95" s="48">
        <f t="shared" si="4"/>
        <v>465219.8899999999</v>
      </c>
      <c r="O95" s="48"/>
      <c r="P95" s="48"/>
      <c r="Q95" s="48" t="str">
        <f t="shared" si="5"/>
        <v>37502</v>
      </c>
      <c r="R95" s="48">
        <f t="shared" si="6"/>
        <v>465219.8899999999</v>
      </c>
    </row>
    <row r="96" spans="1:18">
      <c r="A96" t="s">
        <v>533</v>
      </c>
      <c r="B96" t="s">
        <v>1848</v>
      </c>
      <c r="C96" s="48">
        <v>322607.81</v>
      </c>
      <c r="D96" s="48">
        <v>30248.15</v>
      </c>
      <c r="E96" s="48">
        <v>6071.04</v>
      </c>
      <c r="F96" s="48">
        <v>0</v>
      </c>
      <c r="G96" s="48">
        <v>95.38</v>
      </c>
      <c r="H96" s="48">
        <v>22410.71</v>
      </c>
      <c r="I96" s="48">
        <v>7412.68</v>
      </c>
      <c r="J96" s="48">
        <v>21604.34</v>
      </c>
      <c r="K96" s="48">
        <v>1911.45</v>
      </c>
      <c r="L96" s="48">
        <v>0</v>
      </c>
      <c r="M96" s="48"/>
      <c r="N96" s="48">
        <f t="shared" si="4"/>
        <v>412361.56000000006</v>
      </c>
      <c r="O96" s="48"/>
      <c r="P96" s="48"/>
      <c r="Q96" s="48" t="str">
        <f t="shared" si="5"/>
        <v>27417</v>
      </c>
      <c r="R96" s="48">
        <f t="shared" si="6"/>
        <v>412361.56000000006</v>
      </c>
    </row>
    <row r="97" spans="1:18">
      <c r="A97" t="s">
        <v>183</v>
      </c>
      <c r="B97" t="s">
        <v>1669</v>
      </c>
      <c r="C97" s="48">
        <v>66028.929999999993</v>
      </c>
      <c r="D97" s="48">
        <v>6351.75</v>
      </c>
      <c r="E97" s="48">
        <v>336.08</v>
      </c>
      <c r="F97" s="48">
        <v>0</v>
      </c>
      <c r="G97" s="48">
        <v>88.11</v>
      </c>
      <c r="H97" s="48">
        <v>6117.41</v>
      </c>
      <c r="I97" s="48">
        <v>3885.05</v>
      </c>
      <c r="J97" s="48">
        <v>4364.51</v>
      </c>
      <c r="K97" s="48">
        <v>377.72</v>
      </c>
      <c r="L97" s="48">
        <v>0</v>
      </c>
      <c r="M97" s="48"/>
      <c r="N97" s="48">
        <f t="shared" si="4"/>
        <v>87549.56</v>
      </c>
      <c r="O97" s="48"/>
      <c r="P97" s="48"/>
      <c r="Q97" s="48" t="str">
        <f t="shared" si="5"/>
        <v>03053</v>
      </c>
      <c r="R97" s="48">
        <f t="shared" si="6"/>
        <v>87549.56</v>
      </c>
    </row>
    <row r="98" spans="1:18">
      <c r="A98" t="s">
        <v>525</v>
      </c>
      <c r="B98" t="s">
        <v>1844</v>
      </c>
      <c r="C98" s="48">
        <v>583400.42000000004</v>
      </c>
      <c r="D98" s="48">
        <v>37628.83</v>
      </c>
      <c r="E98" s="48">
        <v>10089.48</v>
      </c>
      <c r="F98" s="48">
        <v>0</v>
      </c>
      <c r="G98" s="48">
        <v>93.28</v>
      </c>
      <c r="H98" s="48">
        <v>52133.88</v>
      </c>
      <c r="I98" s="48">
        <v>33116.83</v>
      </c>
      <c r="J98" s="48">
        <v>33634.870000000003</v>
      </c>
      <c r="K98" s="48">
        <v>3212.82</v>
      </c>
      <c r="L98" s="48">
        <v>0</v>
      </c>
      <c r="M98" s="48"/>
      <c r="N98" s="48">
        <f t="shared" si="4"/>
        <v>753310.40999999992</v>
      </c>
      <c r="O98" s="48"/>
      <c r="P98" s="48"/>
      <c r="Q98" s="48" t="str">
        <f t="shared" si="5"/>
        <v>27402</v>
      </c>
      <c r="R98" s="48">
        <f t="shared" si="6"/>
        <v>753310.40999999992</v>
      </c>
    </row>
    <row r="99" spans="1:18">
      <c r="A99" t="s">
        <v>606</v>
      </c>
      <c r="B99" t="s">
        <v>1885</v>
      </c>
      <c r="C99" s="48">
        <v>64092.51</v>
      </c>
      <c r="D99" s="48">
        <v>8796.01</v>
      </c>
      <c r="E99" s="48">
        <v>2052.29</v>
      </c>
      <c r="F99" s="48">
        <v>0</v>
      </c>
      <c r="G99" s="48">
        <v>92.74</v>
      </c>
      <c r="H99" s="48">
        <v>1912.8</v>
      </c>
      <c r="I99" s="48">
        <v>0</v>
      </c>
      <c r="J99" s="48">
        <v>89.78</v>
      </c>
      <c r="K99" s="48">
        <v>384.8</v>
      </c>
      <c r="L99" s="48">
        <v>4651.34</v>
      </c>
      <c r="M99" s="48"/>
      <c r="N99" s="48">
        <f t="shared" si="4"/>
        <v>82072.27</v>
      </c>
      <c r="O99" s="48"/>
      <c r="P99" s="48"/>
      <c r="Q99" s="48" t="str">
        <f t="shared" si="5"/>
        <v>32358</v>
      </c>
      <c r="R99" s="48">
        <f t="shared" si="6"/>
        <v>82072.27</v>
      </c>
    </row>
    <row r="100" spans="1:18">
      <c r="A100" t="s">
        <v>697</v>
      </c>
      <c r="B100" t="s">
        <v>1935</v>
      </c>
      <c r="C100" s="48">
        <v>20402.689999999999</v>
      </c>
      <c r="D100" s="48">
        <v>997.48</v>
      </c>
      <c r="E100" s="48">
        <v>0</v>
      </c>
      <c r="F100" s="48">
        <v>0</v>
      </c>
      <c r="G100" s="48">
        <v>85.19</v>
      </c>
      <c r="H100" s="48">
        <v>689.13</v>
      </c>
      <c r="I100" s="48">
        <v>393.13</v>
      </c>
      <c r="J100" s="48">
        <v>0</v>
      </c>
      <c r="K100" s="48">
        <v>57.04</v>
      </c>
      <c r="L100" s="48">
        <v>0</v>
      </c>
      <c r="M100" s="48"/>
      <c r="N100" s="48">
        <f t="shared" si="4"/>
        <v>22624.66</v>
      </c>
      <c r="O100" s="48"/>
      <c r="P100" s="48"/>
      <c r="Q100" s="48" t="str">
        <f t="shared" si="5"/>
        <v>38302</v>
      </c>
      <c r="R100" s="48">
        <f t="shared" si="6"/>
        <v>22624.66</v>
      </c>
    </row>
    <row r="101" spans="1:18">
      <c r="A101" t="s">
        <v>404</v>
      </c>
      <c r="B101" t="s">
        <v>1785</v>
      </c>
      <c r="C101" s="48">
        <v>19835.099999999999</v>
      </c>
      <c r="D101" s="48">
        <v>0</v>
      </c>
      <c r="E101" s="48">
        <v>0</v>
      </c>
      <c r="F101" s="48">
        <v>0</v>
      </c>
      <c r="G101" s="48">
        <v>95.42</v>
      </c>
      <c r="H101" s="48">
        <v>304.64</v>
      </c>
      <c r="I101" s="48">
        <v>0</v>
      </c>
      <c r="J101" s="48">
        <v>0</v>
      </c>
      <c r="K101" s="48">
        <v>0</v>
      </c>
      <c r="L101" s="48">
        <v>0</v>
      </c>
      <c r="M101" s="48"/>
      <c r="N101" s="48">
        <f t="shared" si="4"/>
        <v>20235.159999999996</v>
      </c>
      <c r="O101" s="48"/>
      <c r="P101" s="48"/>
      <c r="Q101" s="48" t="str">
        <f t="shared" si="5"/>
        <v>20401</v>
      </c>
      <c r="R101" s="48">
        <f t="shared" si="6"/>
        <v>20235.159999999996</v>
      </c>
    </row>
    <row r="102" spans="1:18">
      <c r="A102" t="s">
        <v>410</v>
      </c>
      <c r="B102" t="s">
        <v>1788</v>
      </c>
      <c r="C102" s="48">
        <v>63206.1</v>
      </c>
      <c r="D102" s="48">
        <v>7569.69</v>
      </c>
      <c r="E102" s="48">
        <v>1456.89</v>
      </c>
      <c r="F102" s="48">
        <v>0</v>
      </c>
      <c r="G102" s="48">
        <v>80.73</v>
      </c>
      <c r="H102" s="48">
        <v>13532.93</v>
      </c>
      <c r="I102" s="48">
        <v>3920.51</v>
      </c>
      <c r="J102" s="48">
        <v>3641.47</v>
      </c>
      <c r="K102" s="48">
        <v>1443.02</v>
      </c>
      <c r="L102" s="48">
        <v>0</v>
      </c>
      <c r="M102" s="48"/>
      <c r="N102" s="48">
        <f t="shared" si="4"/>
        <v>94851.34</v>
      </c>
      <c r="O102" s="48"/>
      <c r="P102" s="48"/>
      <c r="Q102" s="48" t="str">
        <f t="shared" si="5"/>
        <v>20404</v>
      </c>
      <c r="R102" s="48">
        <f t="shared" si="6"/>
        <v>94851.34</v>
      </c>
    </row>
    <row r="103" spans="1:18">
      <c r="A103" t="s">
        <v>295</v>
      </c>
      <c r="B103" t="s">
        <v>1727</v>
      </c>
      <c r="C103" s="48">
        <v>48399.74</v>
      </c>
      <c r="D103" s="48">
        <v>3152.75</v>
      </c>
      <c r="E103" s="48">
        <v>903.43</v>
      </c>
      <c r="F103" s="48">
        <v>0</v>
      </c>
      <c r="G103" s="48">
        <v>87.44</v>
      </c>
      <c r="H103" s="48">
        <v>4765.3500000000004</v>
      </c>
      <c r="I103" s="48">
        <v>2973.91</v>
      </c>
      <c r="J103" s="48">
        <v>0</v>
      </c>
      <c r="K103" s="48">
        <v>268.26</v>
      </c>
      <c r="L103" s="48">
        <v>0</v>
      </c>
      <c r="M103" s="48"/>
      <c r="N103" s="48">
        <f t="shared" si="4"/>
        <v>60550.879999999997</v>
      </c>
      <c r="O103" s="48"/>
      <c r="P103" s="48"/>
      <c r="Q103" s="48" t="str">
        <f t="shared" si="5"/>
        <v>13301</v>
      </c>
      <c r="R103" s="48">
        <f t="shared" si="6"/>
        <v>60550.879999999997</v>
      </c>
    </row>
    <row r="104" spans="1:18">
      <c r="A104" t="s">
        <v>722</v>
      </c>
      <c r="B104" t="s">
        <v>1948</v>
      </c>
      <c r="C104" s="48">
        <v>260862.75</v>
      </c>
      <c r="D104" s="48">
        <v>26120.81</v>
      </c>
      <c r="E104" s="48">
        <v>3704.68</v>
      </c>
      <c r="F104" s="48">
        <v>0</v>
      </c>
      <c r="G104" s="48">
        <v>88.37</v>
      </c>
      <c r="H104" s="48">
        <v>29794.639999999999</v>
      </c>
      <c r="I104" s="48">
        <v>16011.97</v>
      </c>
      <c r="J104" s="48">
        <v>28254.5</v>
      </c>
      <c r="K104" s="48">
        <v>1509.31</v>
      </c>
      <c r="L104" s="48">
        <v>11914.16</v>
      </c>
      <c r="M104" s="48"/>
      <c r="N104" s="48">
        <f t="shared" si="4"/>
        <v>378261.18999999994</v>
      </c>
      <c r="O104" s="48"/>
      <c r="P104" s="48"/>
      <c r="Q104" s="48" t="str">
        <f t="shared" si="5"/>
        <v>39200</v>
      </c>
      <c r="R104" s="48">
        <f t="shared" si="6"/>
        <v>378261.18999999994</v>
      </c>
    </row>
    <row r="105" spans="1:18">
      <c r="A105" t="s">
        <v>730</v>
      </c>
      <c r="B105" t="s">
        <v>1952</v>
      </c>
      <c r="C105" s="48">
        <v>103118.84</v>
      </c>
      <c r="D105" s="48">
        <v>14202.03</v>
      </c>
      <c r="E105" s="48">
        <v>3061.79</v>
      </c>
      <c r="F105" s="48">
        <v>0</v>
      </c>
      <c r="G105" s="48">
        <v>88.17</v>
      </c>
      <c r="H105" s="48">
        <v>12392.08</v>
      </c>
      <c r="I105" s="48">
        <v>6251.54</v>
      </c>
      <c r="J105" s="48">
        <v>18921.13</v>
      </c>
      <c r="K105" s="48">
        <v>616.67999999999995</v>
      </c>
      <c r="L105" s="48">
        <v>0</v>
      </c>
      <c r="M105" s="48"/>
      <c r="N105" s="48">
        <f t="shared" si="4"/>
        <v>158652.25999999998</v>
      </c>
      <c r="O105" s="48"/>
      <c r="P105" s="48"/>
      <c r="Q105" s="48" t="str">
        <f t="shared" si="5"/>
        <v>39204</v>
      </c>
      <c r="R105" s="48">
        <f t="shared" si="6"/>
        <v>158652.25999999998</v>
      </c>
    </row>
    <row r="106" spans="1:18">
      <c r="A106" t="s">
        <v>588</v>
      </c>
      <c r="B106" t="s">
        <v>1876</v>
      </c>
      <c r="C106" s="48">
        <v>184353.49</v>
      </c>
      <c r="D106" s="48">
        <v>10641.59</v>
      </c>
      <c r="E106" s="48">
        <v>5009.13</v>
      </c>
      <c r="F106" s="48">
        <v>0</v>
      </c>
      <c r="G106" s="48">
        <v>98.8</v>
      </c>
      <c r="H106" s="48">
        <v>11385.8</v>
      </c>
      <c r="I106" s="48">
        <v>1170.7</v>
      </c>
      <c r="J106" s="48">
        <v>2400.1</v>
      </c>
      <c r="K106" s="48">
        <v>1080.9000000000001</v>
      </c>
      <c r="L106" s="48">
        <v>0</v>
      </c>
      <c r="M106" s="48"/>
      <c r="N106" s="48">
        <f t="shared" si="4"/>
        <v>216140.50999999998</v>
      </c>
      <c r="O106" s="48"/>
      <c r="P106" s="48"/>
      <c r="Q106" s="48" t="str">
        <f t="shared" si="5"/>
        <v>31332</v>
      </c>
      <c r="R106" s="48">
        <f t="shared" si="6"/>
        <v>216140.50999999998</v>
      </c>
    </row>
    <row r="107" spans="1:18">
      <c r="A107" t="s">
        <v>460</v>
      </c>
      <c r="B107" t="s">
        <v>1813</v>
      </c>
      <c r="C107" s="48">
        <v>21017.3</v>
      </c>
      <c r="D107" s="48">
        <v>0</v>
      </c>
      <c r="E107" s="48">
        <v>127.47</v>
      </c>
      <c r="F107" s="48">
        <v>0</v>
      </c>
      <c r="G107" s="48">
        <v>99.77</v>
      </c>
      <c r="H107" s="48">
        <v>1174.98</v>
      </c>
      <c r="I107" s="48">
        <v>0</v>
      </c>
      <c r="J107" s="48">
        <v>0</v>
      </c>
      <c r="K107" s="48">
        <v>102.95</v>
      </c>
      <c r="L107" s="48">
        <v>1755.12</v>
      </c>
      <c r="M107" s="48"/>
      <c r="N107" s="48">
        <f t="shared" si="4"/>
        <v>24277.59</v>
      </c>
      <c r="O107" s="48"/>
      <c r="P107" s="48"/>
      <c r="Q107" s="48" t="str">
        <f t="shared" si="5"/>
        <v>23054</v>
      </c>
      <c r="R107" s="48">
        <f t="shared" si="6"/>
        <v>24277.59</v>
      </c>
    </row>
    <row r="108" spans="1:18">
      <c r="A108" t="s">
        <v>596</v>
      </c>
      <c r="B108" t="s">
        <v>1880</v>
      </c>
      <c r="C108" s="48">
        <v>4258.1400000000003</v>
      </c>
      <c r="D108" s="48">
        <v>0</v>
      </c>
      <c r="E108" s="48">
        <v>0</v>
      </c>
      <c r="F108" s="48">
        <v>0</v>
      </c>
      <c r="G108" s="48">
        <v>101.66</v>
      </c>
      <c r="H108" s="48">
        <v>249.75</v>
      </c>
      <c r="I108" s="48">
        <v>186.54</v>
      </c>
      <c r="J108" s="48">
        <v>0</v>
      </c>
      <c r="K108" s="48">
        <v>16.96</v>
      </c>
      <c r="L108" s="48">
        <v>0</v>
      </c>
      <c r="M108" s="48"/>
      <c r="N108" s="48">
        <f t="shared" si="4"/>
        <v>4813.05</v>
      </c>
      <c r="O108" s="48"/>
      <c r="P108" s="48"/>
      <c r="Q108" s="48" t="str">
        <f t="shared" si="5"/>
        <v>32312</v>
      </c>
      <c r="R108" s="48">
        <f t="shared" si="6"/>
        <v>4813.05</v>
      </c>
    </row>
    <row r="109" spans="1:18">
      <c r="A109" t="s">
        <v>218</v>
      </c>
      <c r="B109" t="s">
        <v>1688</v>
      </c>
      <c r="C109" s="48">
        <v>18026.73</v>
      </c>
      <c r="D109" s="48">
        <v>0</v>
      </c>
      <c r="E109" s="48">
        <v>0</v>
      </c>
      <c r="F109" s="48">
        <v>0</v>
      </c>
      <c r="G109" s="48">
        <v>99.44</v>
      </c>
      <c r="H109" s="48">
        <v>375.86</v>
      </c>
      <c r="I109" s="48">
        <v>0</v>
      </c>
      <c r="J109" s="48">
        <v>0</v>
      </c>
      <c r="K109" s="48">
        <v>81.709999999999994</v>
      </c>
      <c r="L109" s="48">
        <v>0</v>
      </c>
      <c r="M109" s="48"/>
      <c r="N109" s="48">
        <f t="shared" si="4"/>
        <v>18583.739999999998</v>
      </c>
      <c r="O109" s="48"/>
      <c r="P109" s="48"/>
      <c r="Q109" s="48" t="str">
        <f t="shared" si="5"/>
        <v>06103</v>
      </c>
      <c r="R109" s="48">
        <f t="shared" si="6"/>
        <v>18583.739999999998</v>
      </c>
    </row>
    <row r="110" spans="1:18">
      <c r="A110" t="s">
        <v>650</v>
      </c>
      <c r="B110" t="s">
        <v>1909</v>
      </c>
      <c r="C110" s="48">
        <v>50100.21</v>
      </c>
      <c r="D110" s="48">
        <v>0</v>
      </c>
      <c r="E110" s="48">
        <v>0</v>
      </c>
      <c r="F110" s="48">
        <v>0</v>
      </c>
      <c r="G110" s="48">
        <v>90.85</v>
      </c>
      <c r="H110" s="48">
        <v>1668.1</v>
      </c>
      <c r="I110" s="48">
        <v>0</v>
      </c>
      <c r="J110" s="48">
        <v>57.04</v>
      </c>
      <c r="K110" s="48">
        <v>246.67</v>
      </c>
      <c r="L110" s="48">
        <v>2896.83</v>
      </c>
      <c r="M110" s="48"/>
      <c r="N110" s="48">
        <f t="shared" si="4"/>
        <v>55059.7</v>
      </c>
      <c r="O110" s="48"/>
      <c r="P110" s="48"/>
      <c r="Q110" s="48" t="str">
        <f t="shared" si="5"/>
        <v>34324</v>
      </c>
      <c r="R110" s="48">
        <f t="shared" si="6"/>
        <v>55059.7</v>
      </c>
    </row>
    <row r="111" spans="1:18">
      <c r="A111" t="s">
        <v>454</v>
      </c>
      <c r="B111" t="s">
        <v>1810</v>
      </c>
      <c r="C111" s="48">
        <v>21444.87</v>
      </c>
      <c r="D111" s="48">
        <v>665.4</v>
      </c>
      <c r="E111" s="48">
        <v>229.28</v>
      </c>
      <c r="F111" s="48">
        <v>0</v>
      </c>
      <c r="G111" s="48">
        <v>93.67</v>
      </c>
      <c r="H111" s="48">
        <v>675.01</v>
      </c>
      <c r="I111" s="48">
        <v>538.73</v>
      </c>
      <c r="J111" s="48">
        <v>0</v>
      </c>
      <c r="K111" s="48">
        <v>48.11</v>
      </c>
      <c r="L111" s="48">
        <v>0</v>
      </c>
      <c r="M111" s="48"/>
      <c r="N111" s="48">
        <f t="shared" si="4"/>
        <v>23695.069999999996</v>
      </c>
      <c r="O111" s="48"/>
      <c r="P111" s="48"/>
      <c r="Q111" s="48" t="str">
        <f t="shared" si="5"/>
        <v>22204</v>
      </c>
      <c r="R111" s="48">
        <f t="shared" si="6"/>
        <v>23695.069999999996</v>
      </c>
    </row>
    <row r="112" spans="1:18">
      <c r="A112" t="s">
        <v>728</v>
      </c>
      <c r="B112" t="s">
        <v>1951</v>
      </c>
      <c r="C112" s="48">
        <v>77215.41</v>
      </c>
      <c r="D112" s="48">
        <v>4082.38</v>
      </c>
      <c r="E112" s="48">
        <v>0</v>
      </c>
      <c r="F112" s="48">
        <v>0</v>
      </c>
      <c r="G112" s="48">
        <v>88.39</v>
      </c>
      <c r="H112" s="48">
        <v>8359.02</v>
      </c>
      <c r="I112" s="48">
        <v>4762.2700000000004</v>
      </c>
      <c r="J112" s="48">
        <v>8064.56</v>
      </c>
      <c r="K112" s="48">
        <v>420.89</v>
      </c>
      <c r="L112" s="48">
        <v>5946.29</v>
      </c>
      <c r="M112" s="48"/>
      <c r="N112" s="48">
        <f t="shared" si="4"/>
        <v>108939.21</v>
      </c>
      <c r="O112" s="48"/>
      <c r="P112" s="48"/>
      <c r="Q112" s="48" t="str">
        <f t="shared" si="5"/>
        <v>39203</v>
      </c>
      <c r="R112" s="48">
        <f t="shared" si="6"/>
        <v>108939.21</v>
      </c>
    </row>
    <row r="113" spans="1:18">
      <c r="A113" t="s">
        <v>346</v>
      </c>
      <c r="B113" t="s">
        <v>1753</v>
      </c>
      <c r="C113" s="48">
        <v>1600302.33</v>
      </c>
      <c r="D113" s="48">
        <v>77719.48</v>
      </c>
      <c r="E113" s="48">
        <v>8255.49</v>
      </c>
      <c r="F113" s="48">
        <v>66244.03</v>
      </c>
      <c r="G113" s="48">
        <v>104.42</v>
      </c>
      <c r="H113" s="48">
        <v>146735.95000000001</v>
      </c>
      <c r="I113" s="48">
        <v>78439.88</v>
      </c>
      <c r="J113" s="48">
        <v>200724.08</v>
      </c>
      <c r="K113" s="48">
        <v>9257.8700000000008</v>
      </c>
      <c r="L113" s="48">
        <v>6634.59</v>
      </c>
      <c r="M113" s="48"/>
      <c r="N113" s="48">
        <f t="shared" si="4"/>
        <v>2194418.12</v>
      </c>
      <c r="O113" s="48"/>
      <c r="P113" s="48"/>
      <c r="Q113" s="48" t="str">
        <f t="shared" si="5"/>
        <v>17401</v>
      </c>
      <c r="R113" s="48">
        <f t="shared" si="6"/>
        <v>2194418.12</v>
      </c>
    </row>
    <row r="114" spans="1:18">
      <c r="A114" t="s">
        <v>215</v>
      </c>
      <c r="B114" t="s">
        <v>1686</v>
      </c>
      <c r="C114" s="48">
        <v>169264.34</v>
      </c>
      <c r="D114" s="48">
        <v>7193.7</v>
      </c>
      <c r="E114" s="48">
        <v>1428.29</v>
      </c>
      <c r="F114" s="48">
        <v>0</v>
      </c>
      <c r="G114" s="48">
        <v>93.65</v>
      </c>
      <c r="H114" s="48">
        <v>5566.04</v>
      </c>
      <c r="I114" s="48">
        <v>0</v>
      </c>
      <c r="J114" s="48">
        <v>3119.66</v>
      </c>
      <c r="K114" s="48">
        <v>931.49</v>
      </c>
      <c r="L114" s="48">
        <v>7455.16</v>
      </c>
      <c r="M114" s="48"/>
      <c r="N114" s="48">
        <f t="shared" si="4"/>
        <v>195052.33000000002</v>
      </c>
      <c r="O114" s="48"/>
      <c r="P114" s="48"/>
      <c r="Q114" s="48" t="str">
        <f t="shared" si="5"/>
        <v>06098</v>
      </c>
      <c r="R114" s="48">
        <f t="shared" si="6"/>
        <v>195052.33000000002</v>
      </c>
    </row>
    <row r="115" spans="1:18">
      <c r="A115" t="s">
        <v>470</v>
      </c>
      <c r="B115" t="s">
        <v>1818</v>
      </c>
      <c r="C115" s="48">
        <v>29638.94</v>
      </c>
      <c r="D115" s="48">
        <v>0</v>
      </c>
      <c r="E115" s="48">
        <v>0</v>
      </c>
      <c r="F115" s="48">
        <v>0</v>
      </c>
      <c r="G115" s="48">
        <v>93.59</v>
      </c>
      <c r="H115" s="48">
        <v>2354.15</v>
      </c>
      <c r="I115" s="48">
        <v>1433.77</v>
      </c>
      <c r="J115" s="48">
        <v>417.79</v>
      </c>
      <c r="K115" s="48">
        <v>141.84</v>
      </c>
      <c r="L115" s="48">
        <v>941.97</v>
      </c>
      <c r="M115" s="48"/>
      <c r="N115" s="48">
        <f t="shared" si="4"/>
        <v>35022.049999999996</v>
      </c>
      <c r="O115" s="48"/>
      <c r="P115" s="48"/>
      <c r="Q115" s="48" t="str">
        <f t="shared" si="5"/>
        <v>23404</v>
      </c>
      <c r="R115" s="48">
        <f t="shared" si="6"/>
        <v>35022.049999999996</v>
      </c>
    </row>
    <row r="116" spans="1:18">
      <c r="A116" t="s">
        <v>299</v>
      </c>
      <c r="B116" t="s">
        <v>1729</v>
      </c>
      <c r="C116" s="48">
        <v>110773.32</v>
      </c>
      <c r="D116" s="48">
        <v>8872.41</v>
      </c>
      <c r="E116" s="48">
        <v>1857.73</v>
      </c>
      <c r="F116" s="48">
        <v>0</v>
      </c>
      <c r="G116" s="48">
        <v>87.79</v>
      </c>
      <c r="H116" s="48">
        <v>11295.94</v>
      </c>
      <c r="I116" s="48">
        <v>7030.09</v>
      </c>
      <c r="J116" s="48">
        <v>3103.41</v>
      </c>
      <c r="K116" s="48">
        <v>667.55</v>
      </c>
      <c r="L116" s="48">
        <v>1863.89</v>
      </c>
      <c r="M116" s="48"/>
      <c r="N116" s="48">
        <f t="shared" si="4"/>
        <v>145552.13</v>
      </c>
      <c r="O116" s="48"/>
      <c r="P116" s="48"/>
      <c r="Q116" s="48" t="str">
        <f t="shared" si="5"/>
        <v>14028</v>
      </c>
      <c r="R116" s="48">
        <f t="shared" si="6"/>
        <v>145552.13</v>
      </c>
    </row>
    <row r="117" spans="1:18">
      <c r="A117" t="s">
        <v>2303</v>
      </c>
      <c r="B117" t="s">
        <v>2393</v>
      </c>
      <c r="C117" s="48">
        <v>34681.050000000003</v>
      </c>
      <c r="D117" s="48">
        <v>0</v>
      </c>
      <c r="E117" s="48">
        <v>0</v>
      </c>
      <c r="F117" s="48">
        <v>0</v>
      </c>
      <c r="G117" s="48">
        <v>129.02000000000001</v>
      </c>
      <c r="H117" s="48">
        <v>1464.45</v>
      </c>
      <c r="I117" s="48">
        <v>1073.32</v>
      </c>
      <c r="J117" s="48">
        <v>1926.53</v>
      </c>
      <c r="K117" s="48">
        <v>140.08000000000001</v>
      </c>
      <c r="L117" s="48">
        <v>0</v>
      </c>
      <c r="M117" s="48"/>
      <c r="N117" s="48">
        <f t="shared" si="4"/>
        <v>39414.449999999997</v>
      </c>
      <c r="O117" s="48"/>
      <c r="P117" s="48"/>
      <c r="Q117" s="48" t="str">
        <f t="shared" si="5"/>
        <v>17919</v>
      </c>
      <c r="R117" s="48">
        <f t="shared" si="6"/>
        <v>39414.449999999997</v>
      </c>
    </row>
    <row r="118" spans="1:18">
      <c r="A118" t="s">
        <v>1634</v>
      </c>
      <c r="B118" t="s">
        <v>1965</v>
      </c>
      <c r="C118" s="48">
        <v>30239.52</v>
      </c>
      <c r="D118" s="48">
        <v>0</v>
      </c>
      <c r="E118" s="48">
        <v>0</v>
      </c>
      <c r="F118" s="48">
        <v>0</v>
      </c>
      <c r="G118" s="48">
        <v>115.66</v>
      </c>
      <c r="H118" s="48">
        <v>1562.66</v>
      </c>
      <c r="I118" s="48">
        <v>1143.06</v>
      </c>
      <c r="J118" s="48">
        <v>687.23</v>
      </c>
      <c r="K118" s="48">
        <v>129.5</v>
      </c>
      <c r="L118" s="48">
        <v>0</v>
      </c>
      <c r="M118" s="48"/>
      <c r="N118" s="48">
        <f t="shared" si="4"/>
        <v>33877.630000000005</v>
      </c>
      <c r="O118" s="48"/>
      <c r="P118" s="48"/>
      <c r="Q118" s="48" t="str">
        <f t="shared" si="5"/>
        <v>27902</v>
      </c>
      <c r="R118" s="48">
        <f t="shared" si="6"/>
        <v>33877.630000000005</v>
      </c>
    </row>
    <row r="119" spans="1:18">
      <c r="A119" t="s">
        <v>1509</v>
      </c>
      <c r="B119" t="s">
        <v>2673</v>
      </c>
      <c r="C119" s="48">
        <v>63864.52</v>
      </c>
      <c r="D119" s="48">
        <v>0</v>
      </c>
      <c r="E119" s="48">
        <v>0</v>
      </c>
      <c r="F119" s="48">
        <v>0</v>
      </c>
      <c r="G119" s="48">
        <v>122.92</v>
      </c>
      <c r="H119" s="48">
        <v>3816.66</v>
      </c>
      <c r="I119" s="48">
        <v>2634.19</v>
      </c>
      <c r="J119" s="48">
        <v>4422.45</v>
      </c>
      <c r="K119" s="48">
        <v>272.87</v>
      </c>
      <c r="L119" s="48">
        <v>0</v>
      </c>
      <c r="M119" s="48"/>
      <c r="N119" s="48">
        <f t="shared" si="4"/>
        <v>75133.609999999986</v>
      </c>
      <c r="O119" s="48"/>
      <c r="P119" s="48"/>
      <c r="Q119" s="48" t="str">
        <f t="shared" si="5"/>
        <v>17911</v>
      </c>
      <c r="R119" s="48">
        <f t="shared" si="6"/>
        <v>75133.609999999986</v>
      </c>
    </row>
    <row r="120" spans="1:18">
      <c r="A120" t="s">
        <v>1576</v>
      </c>
      <c r="B120" t="s">
        <v>1963</v>
      </c>
      <c r="C120" s="48">
        <v>53364.15</v>
      </c>
      <c r="D120" s="48">
        <v>0</v>
      </c>
      <c r="E120" s="48">
        <v>0</v>
      </c>
      <c r="F120" s="48">
        <v>0</v>
      </c>
      <c r="G120" s="48">
        <v>123.21</v>
      </c>
      <c r="H120" s="48">
        <v>2797.92</v>
      </c>
      <c r="I120" s="48">
        <v>2050.23</v>
      </c>
      <c r="J120" s="48">
        <v>2512.31</v>
      </c>
      <c r="K120" s="48">
        <v>227.4</v>
      </c>
      <c r="L120" s="48">
        <v>0</v>
      </c>
      <c r="M120" s="48"/>
      <c r="N120" s="48">
        <f t="shared" si="4"/>
        <v>61075.22</v>
      </c>
      <c r="O120" s="48"/>
      <c r="P120" s="48"/>
      <c r="Q120" s="48" t="str">
        <f t="shared" si="5"/>
        <v>17916</v>
      </c>
      <c r="R120" s="48">
        <f t="shared" si="6"/>
        <v>61075.22</v>
      </c>
    </row>
    <row r="121" spans="1:18">
      <c r="A121" t="s">
        <v>263</v>
      </c>
      <c r="B121" t="s">
        <v>1711</v>
      </c>
      <c r="C121" s="48">
        <v>24966.080000000002</v>
      </c>
      <c r="D121" s="48">
        <v>363.84</v>
      </c>
      <c r="E121" s="48">
        <v>50.88</v>
      </c>
      <c r="F121" s="48">
        <v>0</v>
      </c>
      <c r="G121" s="48">
        <v>86.89</v>
      </c>
      <c r="H121" s="48">
        <v>1518.57</v>
      </c>
      <c r="I121" s="48">
        <v>844.84</v>
      </c>
      <c r="J121" s="48">
        <v>0</v>
      </c>
      <c r="K121" s="48">
        <v>0</v>
      </c>
      <c r="L121" s="48">
        <v>0</v>
      </c>
      <c r="M121" s="48"/>
      <c r="N121" s="48">
        <f t="shared" si="4"/>
        <v>27831.100000000002</v>
      </c>
      <c r="O121" s="48"/>
      <c r="P121" s="48"/>
      <c r="Q121" s="48" t="str">
        <f t="shared" si="5"/>
        <v>10070</v>
      </c>
      <c r="R121" s="48">
        <f t="shared" si="6"/>
        <v>27831.100000000002</v>
      </c>
    </row>
    <row r="122" spans="1:18">
      <c r="A122" t="s">
        <v>576</v>
      </c>
      <c r="B122" t="s">
        <v>1870</v>
      </c>
      <c r="C122" s="48">
        <v>6694.63</v>
      </c>
      <c r="D122" s="48">
        <v>0</v>
      </c>
      <c r="E122" s="48">
        <v>0</v>
      </c>
      <c r="F122" s="48">
        <v>0</v>
      </c>
      <c r="G122" s="48">
        <v>107.62</v>
      </c>
      <c r="H122" s="48">
        <v>180.1</v>
      </c>
      <c r="I122" s="48">
        <v>0</v>
      </c>
      <c r="J122" s="48">
        <v>0</v>
      </c>
      <c r="K122" s="48">
        <v>0</v>
      </c>
      <c r="L122" s="48">
        <v>0</v>
      </c>
      <c r="M122" s="48"/>
      <c r="N122" s="48">
        <f t="shared" si="4"/>
        <v>6982.35</v>
      </c>
      <c r="O122" s="48"/>
      <c r="P122" s="48"/>
      <c r="Q122" s="48" t="str">
        <f t="shared" si="5"/>
        <v>31063</v>
      </c>
      <c r="R122" s="48">
        <f t="shared" si="6"/>
        <v>6982.35</v>
      </c>
    </row>
    <row r="123" spans="1:18">
      <c r="A123" t="s">
        <v>364</v>
      </c>
      <c r="B123" t="s">
        <v>1763</v>
      </c>
      <c r="C123" s="48">
        <v>1686817.61</v>
      </c>
      <c r="D123" s="48">
        <v>98540.12</v>
      </c>
      <c r="E123" s="48">
        <v>4844.51</v>
      </c>
      <c r="F123" s="48">
        <v>0</v>
      </c>
      <c r="G123" s="48">
        <v>102.39</v>
      </c>
      <c r="H123" s="48">
        <v>30787.99</v>
      </c>
      <c r="I123" s="48">
        <v>0</v>
      </c>
      <c r="J123" s="48">
        <v>42820.12</v>
      </c>
      <c r="K123" s="48">
        <v>9514.3700000000008</v>
      </c>
      <c r="L123" s="48">
        <v>9790.89</v>
      </c>
      <c r="M123" s="48"/>
      <c r="N123" s="48">
        <f t="shared" si="4"/>
        <v>1883218</v>
      </c>
      <c r="O123" s="48"/>
      <c r="P123" s="48"/>
      <c r="Q123" s="48" t="str">
        <f t="shared" si="5"/>
        <v>17411</v>
      </c>
      <c r="R123" s="48">
        <f t="shared" si="6"/>
        <v>1883218</v>
      </c>
    </row>
    <row r="124" spans="1:18">
      <c r="A124" t="s">
        <v>273</v>
      </c>
      <c r="B124" t="s">
        <v>1716</v>
      </c>
      <c r="C124" s="48">
        <v>19352.8</v>
      </c>
      <c r="D124" s="48">
        <v>164.96</v>
      </c>
      <c r="E124" s="48">
        <v>57.04</v>
      </c>
      <c r="F124" s="48">
        <v>0</v>
      </c>
      <c r="G124" s="48">
        <v>87.3</v>
      </c>
      <c r="H124" s="48">
        <v>391.59</v>
      </c>
      <c r="I124" s="48">
        <v>246.67</v>
      </c>
      <c r="J124" s="48">
        <v>0</v>
      </c>
      <c r="K124" s="48">
        <v>16.96</v>
      </c>
      <c r="L124" s="48">
        <v>0</v>
      </c>
      <c r="M124" s="48"/>
      <c r="N124" s="48">
        <f t="shared" si="4"/>
        <v>20317.319999999996</v>
      </c>
      <c r="O124" s="48"/>
      <c r="P124" s="48"/>
      <c r="Q124" s="48" t="str">
        <f t="shared" si="5"/>
        <v>11056</v>
      </c>
      <c r="R124" s="48">
        <f t="shared" si="6"/>
        <v>20317.319999999996</v>
      </c>
    </row>
    <row r="125" spans="1:18">
      <c r="A125" t="s">
        <v>239</v>
      </c>
      <c r="B125" t="s">
        <v>1699</v>
      </c>
      <c r="C125" s="48">
        <v>88821.23</v>
      </c>
      <c r="D125" s="48">
        <v>3148.13</v>
      </c>
      <c r="E125" s="48">
        <v>582.75</v>
      </c>
      <c r="F125" s="48">
        <v>0</v>
      </c>
      <c r="G125" s="48">
        <v>88.77</v>
      </c>
      <c r="H125" s="48">
        <v>4124.0200000000004</v>
      </c>
      <c r="I125" s="48">
        <v>0</v>
      </c>
      <c r="J125" s="48">
        <v>642.88</v>
      </c>
      <c r="K125" s="48">
        <v>504.13</v>
      </c>
      <c r="L125" s="48">
        <v>4071.59</v>
      </c>
      <c r="M125" s="48"/>
      <c r="N125" s="48">
        <f t="shared" si="4"/>
        <v>101983.50000000001</v>
      </c>
      <c r="O125" s="48"/>
      <c r="P125" s="48"/>
      <c r="Q125" s="48" t="str">
        <f t="shared" si="5"/>
        <v>08402</v>
      </c>
      <c r="R125" s="48">
        <f t="shared" si="6"/>
        <v>101983.50000000001</v>
      </c>
    </row>
    <row r="126" spans="1:18">
      <c r="A126" t="s">
        <v>257</v>
      </c>
      <c r="B126" t="s">
        <v>1708</v>
      </c>
      <c r="C126" s="48">
        <v>3562.84</v>
      </c>
      <c r="D126" s="48">
        <v>0</v>
      </c>
      <c r="E126" s="48">
        <v>0</v>
      </c>
      <c r="F126" s="48">
        <v>0</v>
      </c>
      <c r="G126" s="48">
        <v>96.02</v>
      </c>
      <c r="H126" s="48">
        <v>320.67</v>
      </c>
      <c r="I126" s="48">
        <v>169.59</v>
      </c>
      <c r="J126" s="48">
        <v>0</v>
      </c>
      <c r="K126" s="48">
        <v>7.71</v>
      </c>
      <c r="L126" s="48">
        <v>0</v>
      </c>
      <c r="M126" s="48"/>
      <c r="N126" s="48">
        <f t="shared" si="4"/>
        <v>4156.83</v>
      </c>
      <c r="O126" s="48"/>
      <c r="P126" s="48"/>
      <c r="Q126" s="48" t="str">
        <f t="shared" si="5"/>
        <v>10003</v>
      </c>
      <c r="R126" s="48">
        <f t="shared" si="6"/>
        <v>4156.83</v>
      </c>
    </row>
    <row r="127" spans="1:18">
      <c r="A127" t="s">
        <v>243</v>
      </c>
      <c r="B127" t="s">
        <v>1701</v>
      </c>
      <c r="C127" s="48">
        <v>360229.12</v>
      </c>
      <c r="D127" s="48">
        <v>35201.35</v>
      </c>
      <c r="E127" s="48">
        <v>7202.76</v>
      </c>
      <c r="F127" s="48">
        <v>0</v>
      </c>
      <c r="G127" s="48">
        <v>88.53</v>
      </c>
      <c r="H127" s="48">
        <v>30324.99</v>
      </c>
      <c r="I127" s="48">
        <v>21400.16</v>
      </c>
      <c r="J127" s="48">
        <v>8550.2000000000007</v>
      </c>
      <c r="K127" s="48">
        <v>2167.61</v>
      </c>
      <c r="L127" s="48">
        <v>17959.11</v>
      </c>
      <c r="M127" s="48"/>
      <c r="N127" s="48">
        <f t="shared" si="4"/>
        <v>483123.82999999996</v>
      </c>
      <c r="O127" s="48"/>
      <c r="P127" s="48"/>
      <c r="Q127" s="48" t="str">
        <f t="shared" si="5"/>
        <v>08458</v>
      </c>
      <c r="R127" s="48">
        <f t="shared" si="6"/>
        <v>483123.82999999996</v>
      </c>
    </row>
    <row r="128" spans="1:18">
      <c r="A128" t="s">
        <v>177</v>
      </c>
      <c r="B128" t="s">
        <v>1666</v>
      </c>
      <c r="C128" s="48">
        <v>1389644.59</v>
      </c>
      <c r="D128" s="48">
        <v>78134.25</v>
      </c>
      <c r="E128" s="48">
        <v>11985.07</v>
      </c>
      <c r="F128" s="48">
        <v>67117.36</v>
      </c>
      <c r="G128" s="48">
        <v>87.32</v>
      </c>
      <c r="H128" s="48">
        <v>109211.59</v>
      </c>
      <c r="I128" s="48">
        <v>58334.36</v>
      </c>
      <c r="J128" s="48">
        <v>85236.800000000003</v>
      </c>
      <c r="K128" s="48">
        <v>8212.57</v>
      </c>
      <c r="L128" s="48">
        <v>3437.96</v>
      </c>
      <c r="M128" s="48"/>
      <c r="N128" s="48">
        <f t="shared" si="4"/>
        <v>1811401.8700000006</v>
      </c>
      <c r="O128" s="48"/>
      <c r="P128" s="48"/>
      <c r="Q128" s="48" t="str">
        <f t="shared" si="5"/>
        <v>03017</v>
      </c>
      <c r="R128" s="48">
        <f t="shared" si="6"/>
        <v>1811401.8700000006</v>
      </c>
    </row>
    <row r="129" spans="1:18">
      <c r="A129" t="s">
        <v>370</v>
      </c>
      <c r="B129" t="s">
        <v>1766</v>
      </c>
      <c r="C129" s="48">
        <v>2252627.86</v>
      </c>
      <c r="D129" s="48">
        <v>170849.33</v>
      </c>
      <c r="E129" s="48">
        <v>30544.22</v>
      </c>
      <c r="F129" s="48">
        <v>0</v>
      </c>
      <c r="G129" s="48">
        <v>104.21</v>
      </c>
      <c r="H129" s="48">
        <v>165806.53</v>
      </c>
      <c r="I129" s="48">
        <v>66213.100000000006</v>
      </c>
      <c r="J129" s="48">
        <v>228810.57</v>
      </c>
      <c r="K129" s="48">
        <v>13001.75</v>
      </c>
      <c r="L129" s="48">
        <v>0</v>
      </c>
      <c r="M129" s="48"/>
      <c r="N129" s="48">
        <f t="shared" si="4"/>
        <v>2927957.57</v>
      </c>
      <c r="O129" s="48"/>
      <c r="P129" s="48"/>
      <c r="Q129" s="48" t="str">
        <f t="shared" si="5"/>
        <v>17415</v>
      </c>
      <c r="R129" s="48">
        <f t="shared" si="6"/>
        <v>2927957.57</v>
      </c>
    </row>
    <row r="130" spans="1:18">
      <c r="A130" t="s">
        <v>638</v>
      </c>
      <c r="B130" t="s">
        <v>1903</v>
      </c>
      <c r="C130" s="48">
        <v>48140.73</v>
      </c>
      <c r="D130" s="48">
        <v>4771.53</v>
      </c>
      <c r="E130" s="48">
        <v>0</v>
      </c>
      <c r="F130" s="48">
        <v>0</v>
      </c>
      <c r="G130" s="48">
        <v>84</v>
      </c>
      <c r="H130" s="48">
        <v>5753.58</v>
      </c>
      <c r="I130" s="48">
        <v>3047.91</v>
      </c>
      <c r="J130" s="48">
        <v>0</v>
      </c>
      <c r="K130" s="48">
        <v>473.3</v>
      </c>
      <c r="L130" s="48">
        <v>2025.78</v>
      </c>
      <c r="M130" s="48"/>
      <c r="N130" s="48">
        <f t="shared" si="4"/>
        <v>64296.83</v>
      </c>
      <c r="O130" s="48"/>
      <c r="P130" s="48"/>
      <c r="Q130" s="48" t="str">
        <f t="shared" si="5"/>
        <v>33212</v>
      </c>
      <c r="R130" s="48">
        <f t="shared" si="6"/>
        <v>64296.83</v>
      </c>
    </row>
    <row r="131" spans="1:18">
      <c r="A131" t="s">
        <v>181</v>
      </c>
      <c r="B131" t="s">
        <v>1668</v>
      </c>
      <c r="C131" s="48">
        <v>102848.8</v>
      </c>
      <c r="D131" s="48">
        <v>8302.17</v>
      </c>
      <c r="E131" s="48">
        <v>1144.8</v>
      </c>
      <c r="F131" s="48">
        <v>0</v>
      </c>
      <c r="G131" s="48">
        <v>91.41</v>
      </c>
      <c r="H131" s="48">
        <v>9584.86</v>
      </c>
      <c r="I131" s="48">
        <v>6235.44</v>
      </c>
      <c r="J131" s="48">
        <v>8688.58</v>
      </c>
      <c r="K131" s="48">
        <v>582.02</v>
      </c>
      <c r="L131" s="48">
        <v>1553.65</v>
      </c>
      <c r="M131" s="48"/>
      <c r="N131" s="48">
        <f t="shared" si="4"/>
        <v>139031.72999999998</v>
      </c>
      <c r="O131" s="48"/>
      <c r="P131" s="48"/>
      <c r="Q131" s="48" t="str">
        <f t="shared" si="5"/>
        <v>03052</v>
      </c>
      <c r="R131" s="48">
        <f t="shared" si="6"/>
        <v>139031.72999999998</v>
      </c>
    </row>
    <row r="132" spans="1:18">
      <c r="A132" t="s">
        <v>392</v>
      </c>
      <c r="B132" t="s">
        <v>1779</v>
      </c>
      <c r="C132" s="48">
        <v>46375.49</v>
      </c>
      <c r="D132" s="48">
        <v>3536.63</v>
      </c>
      <c r="E132" s="48">
        <v>994.38</v>
      </c>
      <c r="F132" s="48">
        <v>0</v>
      </c>
      <c r="G132" s="48">
        <v>88.41</v>
      </c>
      <c r="H132" s="48">
        <v>2902.99</v>
      </c>
      <c r="I132" s="48">
        <v>1449.18</v>
      </c>
      <c r="J132" s="48">
        <v>1173.23</v>
      </c>
      <c r="K132" s="48">
        <v>243.59</v>
      </c>
      <c r="L132" s="48">
        <v>1940.99</v>
      </c>
      <c r="M132" s="48"/>
      <c r="N132" s="48">
        <f t="shared" si="4"/>
        <v>58704.889999999992</v>
      </c>
      <c r="O132" s="48"/>
      <c r="P132" s="48"/>
      <c r="Q132" s="48" t="str">
        <f t="shared" si="5"/>
        <v>19403</v>
      </c>
      <c r="R132" s="48">
        <f t="shared" si="6"/>
        <v>58704.889999999992</v>
      </c>
    </row>
    <row r="133" spans="1:18">
      <c r="A133" t="s">
        <v>406</v>
      </c>
      <c r="B133" t="s">
        <v>1786</v>
      </c>
      <c r="C133" s="48">
        <v>20328.939999999999</v>
      </c>
      <c r="D133" s="48">
        <v>0</v>
      </c>
      <c r="E133" s="48">
        <v>0</v>
      </c>
      <c r="F133" s="48">
        <v>0</v>
      </c>
      <c r="G133" s="48">
        <v>93.62</v>
      </c>
      <c r="H133" s="48">
        <v>404.05</v>
      </c>
      <c r="I133" s="48">
        <v>0</v>
      </c>
      <c r="J133" s="48">
        <v>0</v>
      </c>
      <c r="K133" s="48">
        <v>33.67</v>
      </c>
      <c r="L133" s="48">
        <v>0</v>
      </c>
      <c r="M133" s="48"/>
      <c r="N133" s="48">
        <f t="shared" ref="N133:N196" si="7">SUM(C133:M133)</f>
        <v>20860.279999999995</v>
      </c>
      <c r="O133" s="48"/>
      <c r="P133" s="48"/>
      <c r="Q133" s="48" t="str">
        <f t="shared" si="5"/>
        <v>20402</v>
      </c>
      <c r="R133" s="48">
        <f t="shared" si="6"/>
        <v>20860.279999999995</v>
      </c>
    </row>
    <row r="134" spans="1:18">
      <c r="A134" t="s">
        <v>550</v>
      </c>
      <c r="B134" t="s">
        <v>1857</v>
      </c>
      <c r="C134" s="48">
        <v>45455.11</v>
      </c>
      <c r="D134" s="48">
        <v>2053.0300000000002</v>
      </c>
      <c r="E134" s="48">
        <v>652.69000000000005</v>
      </c>
      <c r="F134" s="48">
        <v>0</v>
      </c>
      <c r="G134" s="48">
        <v>97.32</v>
      </c>
      <c r="H134" s="48">
        <v>3268.63</v>
      </c>
      <c r="I134" s="48">
        <v>2388.0100000000002</v>
      </c>
      <c r="J134" s="48">
        <v>486.92</v>
      </c>
      <c r="K134" s="48">
        <v>231.38</v>
      </c>
      <c r="L134" s="48">
        <v>0</v>
      </c>
      <c r="M134" s="48"/>
      <c r="N134" s="48">
        <f t="shared" si="7"/>
        <v>54633.09</v>
      </c>
      <c r="O134" s="48"/>
      <c r="P134" s="48"/>
      <c r="Q134" s="48" t="str">
        <f t="shared" ref="Q134:Q197" si="8">TEXT(A134, "00000")</f>
        <v>29311</v>
      </c>
      <c r="R134" s="48">
        <f t="shared" ref="R134:R197" si="9">N134</f>
        <v>54633.09</v>
      </c>
    </row>
    <row r="135" spans="1:18">
      <c r="A135" t="s">
        <v>217</v>
      </c>
      <c r="B135" t="s">
        <v>1687</v>
      </c>
      <c r="C135" s="48">
        <v>151879.17000000001</v>
      </c>
      <c r="D135" s="48">
        <v>15081.24</v>
      </c>
      <c r="E135" s="48">
        <v>676.65</v>
      </c>
      <c r="F135" s="48">
        <v>0</v>
      </c>
      <c r="G135" s="48">
        <v>96.2</v>
      </c>
      <c r="H135" s="48">
        <v>5652.29</v>
      </c>
      <c r="I135" s="48">
        <v>0</v>
      </c>
      <c r="J135" s="48">
        <v>1789.13</v>
      </c>
      <c r="K135" s="48">
        <v>886.93</v>
      </c>
      <c r="L135" s="48">
        <v>0</v>
      </c>
      <c r="M135" s="48"/>
      <c r="N135" s="48">
        <f t="shared" si="7"/>
        <v>176061.61000000002</v>
      </c>
      <c r="O135" s="48"/>
      <c r="P135" s="48"/>
      <c r="Q135" s="48" t="str">
        <f t="shared" si="8"/>
        <v>06101</v>
      </c>
      <c r="R135" s="48">
        <f t="shared" si="9"/>
        <v>176061.61000000002</v>
      </c>
    </row>
    <row r="136" spans="1:18">
      <c r="A136" t="s">
        <v>685</v>
      </c>
      <c r="B136" t="s">
        <v>1929</v>
      </c>
      <c r="C136" s="48">
        <v>19169.34</v>
      </c>
      <c r="D136" s="48">
        <v>433.21</v>
      </c>
      <c r="E136" s="48">
        <v>0</v>
      </c>
      <c r="F136" s="48">
        <v>0</v>
      </c>
      <c r="G136" s="48">
        <v>90.93</v>
      </c>
      <c r="H136" s="48">
        <v>326.83999999999997</v>
      </c>
      <c r="I136" s="48">
        <v>157.25</v>
      </c>
      <c r="J136" s="48">
        <v>0</v>
      </c>
      <c r="K136" s="48">
        <v>30.83</v>
      </c>
      <c r="L136" s="48">
        <v>296</v>
      </c>
      <c r="M136" s="48"/>
      <c r="N136" s="48">
        <f t="shared" si="7"/>
        <v>20504.400000000001</v>
      </c>
      <c r="O136" s="48"/>
      <c r="P136" s="48"/>
      <c r="Q136" s="48" t="str">
        <f t="shared" si="8"/>
        <v>38126</v>
      </c>
      <c r="R136" s="48">
        <f t="shared" si="9"/>
        <v>20504.400000000001</v>
      </c>
    </row>
    <row r="137" spans="1:18">
      <c r="A137" t="s">
        <v>195</v>
      </c>
      <c r="B137" t="s">
        <v>1675</v>
      </c>
      <c r="C137" s="48">
        <v>90520.17</v>
      </c>
      <c r="D137" s="48">
        <v>11635.12</v>
      </c>
      <c r="E137" s="48">
        <v>2309.4499999999998</v>
      </c>
      <c r="F137" s="48">
        <v>0</v>
      </c>
      <c r="G137" s="48">
        <v>86.44</v>
      </c>
      <c r="H137" s="48">
        <v>7173.47</v>
      </c>
      <c r="I137" s="48">
        <v>5620.99</v>
      </c>
      <c r="J137" s="48">
        <v>9305.6299999999992</v>
      </c>
      <c r="K137" s="48">
        <v>541.13</v>
      </c>
      <c r="L137" s="48">
        <v>0</v>
      </c>
      <c r="M137" s="48"/>
      <c r="N137" s="48">
        <f t="shared" si="7"/>
        <v>127192.40000000001</v>
      </c>
      <c r="O137" s="48"/>
      <c r="P137" s="48"/>
      <c r="Q137" s="48" t="str">
        <f t="shared" si="8"/>
        <v>04129</v>
      </c>
      <c r="R137" s="48">
        <f t="shared" si="9"/>
        <v>127192.40000000001</v>
      </c>
    </row>
    <row r="138" spans="1:18">
      <c r="A138" t="s">
        <v>566</v>
      </c>
      <c r="B138" t="s">
        <v>1865</v>
      </c>
      <c r="C138" s="48">
        <v>926233.85</v>
      </c>
      <c r="D138" s="48">
        <v>46736.84</v>
      </c>
      <c r="E138" s="48">
        <v>12914.44</v>
      </c>
      <c r="F138" s="48">
        <v>0</v>
      </c>
      <c r="G138" s="48">
        <v>103.04</v>
      </c>
      <c r="H138" s="48">
        <v>33423.99</v>
      </c>
      <c r="I138" s="48">
        <v>0</v>
      </c>
      <c r="J138" s="48">
        <v>23172.85</v>
      </c>
      <c r="K138" s="48">
        <v>5166.51</v>
      </c>
      <c r="L138" s="48">
        <v>0</v>
      </c>
      <c r="M138" s="48"/>
      <c r="N138" s="48">
        <f t="shared" si="7"/>
        <v>1047751.5199999999</v>
      </c>
      <c r="O138" s="48"/>
      <c r="P138" s="48"/>
      <c r="Q138" s="48" t="str">
        <f t="shared" si="8"/>
        <v>31004</v>
      </c>
      <c r="R138" s="48">
        <f t="shared" si="9"/>
        <v>1047751.5199999999</v>
      </c>
    </row>
    <row r="139" spans="1:18">
      <c r="A139" t="s">
        <v>368</v>
      </c>
      <c r="B139" t="s">
        <v>1765</v>
      </c>
      <c r="C139" s="48">
        <v>2823228.06</v>
      </c>
      <c r="D139" s="48">
        <v>161851.60999999999</v>
      </c>
      <c r="E139" s="48">
        <v>31644.83</v>
      </c>
      <c r="F139" s="48">
        <v>61121.18</v>
      </c>
      <c r="G139" s="48">
        <v>103.14</v>
      </c>
      <c r="H139" s="48">
        <v>45279.67</v>
      </c>
      <c r="I139" s="48">
        <v>0</v>
      </c>
      <c r="J139" s="48">
        <v>114186.98</v>
      </c>
      <c r="K139" s="48">
        <v>15883.35</v>
      </c>
      <c r="L139" s="48">
        <v>0</v>
      </c>
      <c r="M139" s="48"/>
      <c r="N139" s="48">
        <f t="shared" si="7"/>
        <v>3253298.8200000003</v>
      </c>
      <c r="O139" s="48"/>
      <c r="P139" s="48"/>
      <c r="Q139" s="48" t="str">
        <f t="shared" si="8"/>
        <v>17414</v>
      </c>
      <c r="R139" s="48">
        <f t="shared" si="9"/>
        <v>3253298.8200000003</v>
      </c>
    </row>
    <row r="140" spans="1:18">
      <c r="A140" t="s">
        <v>582</v>
      </c>
      <c r="B140" t="s">
        <v>1873</v>
      </c>
      <c r="C140" s="48">
        <v>239360.64000000001</v>
      </c>
      <c r="D140" s="48">
        <v>13198.82</v>
      </c>
      <c r="E140" s="48">
        <v>3127.03</v>
      </c>
      <c r="F140" s="48">
        <v>0</v>
      </c>
      <c r="G140" s="48">
        <v>99.18</v>
      </c>
      <c r="H140" s="48">
        <v>13608.05</v>
      </c>
      <c r="I140" s="48">
        <v>2132.46</v>
      </c>
      <c r="J140" s="48">
        <v>8799.2099999999991</v>
      </c>
      <c r="K140" s="48">
        <v>1322.65</v>
      </c>
      <c r="L140" s="48">
        <v>1082.6400000000001</v>
      </c>
      <c r="M140" s="48"/>
      <c r="N140" s="48">
        <f t="shared" si="7"/>
        <v>282730.68000000011</v>
      </c>
      <c r="O140" s="48"/>
      <c r="P140" s="48"/>
      <c r="Q140" s="48" t="str">
        <f t="shared" si="8"/>
        <v>31306</v>
      </c>
      <c r="R140" s="48">
        <f t="shared" si="9"/>
        <v>282730.68000000011</v>
      </c>
    </row>
    <row r="141" spans="1:18">
      <c r="A141" t="s">
        <v>687</v>
      </c>
      <c r="B141" t="s">
        <v>1930</v>
      </c>
      <c r="C141" s="48">
        <v>5673.41</v>
      </c>
      <c r="D141" s="48">
        <v>0</v>
      </c>
      <c r="E141" s="48">
        <v>0</v>
      </c>
      <c r="F141" s="48">
        <v>0</v>
      </c>
      <c r="G141" s="48">
        <v>76.28</v>
      </c>
      <c r="H141" s="48">
        <v>180.38</v>
      </c>
      <c r="I141" s="48">
        <v>140.29</v>
      </c>
      <c r="J141" s="48">
        <v>0</v>
      </c>
      <c r="K141" s="48">
        <v>10.79</v>
      </c>
      <c r="L141" s="48">
        <v>0</v>
      </c>
      <c r="M141" s="48"/>
      <c r="N141" s="48">
        <f t="shared" si="7"/>
        <v>6081.15</v>
      </c>
      <c r="O141" s="48"/>
      <c r="P141" s="48"/>
      <c r="Q141" s="48" t="str">
        <f t="shared" si="8"/>
        <v>38264</v>
      </c>
      <c r="R141" s="48">
        <f t="shared" si="9"/>
        <v>6081.15</v>
      </c>
    </row>
    <row r="142" spans="1:18">
      <c r="A142" t="s">
        <v>611</v>
      </c>
      <c r="B142" t="s">
        <v>1888</v>
      </c>
      <c r="C142" s="48">
        <v>52136.78</v>
      </c>
      <c r="D142" s="48">
        <v>2739.58</v>
      </c>
      <c r="E142" s="48">
        <v>0</v>
      </c>
      <c r="F142" s="48">
        <v>0</v>
      </c>
      <c r="G142" s="48">
        <v>88.18</v>
      </c>
      <c r="H142" s="48">
        <v>2338.7399999999998</v>
      </c>
      <c r="I142" s="48">
        <v>0</v>
      </c>
      <c r="J142" s="48">
        <v>0</v>
      </c>
      <c r="K142" s="48">
        <v>262.08999999999997</v>
      </c>
      <c r="L142" s="48">
        <v>2267.8200000000002</v>
      </c>
      <c r="M142" s="48"/>
      <c r="N142" s="48">
        <f t="shared" si="7"/>
        <v>59833.189999999995</v>
      </c>
      <c r="O142" s="48"/>
      <c r="P142" s="48"/>
      <c r="Q142" s="48" t="str">
        <f t="shared" si="8"/>
        <v>32362</v>
      </c>
      <c r="R142" s="48">
        <f t="shared" si="9"/>
        <v>59833.189999999995</v>
      </c>
    </row>
    <row r="143" spans="1:18">
      <c r="A143" t="s">
        <v>169</v>
      </c>
      <c r="B143" t="s">
        <v>1662</v>
      </c>
      <c r="C143" s="48">
        <v>22319.01</v>
      </c>
      <c r="D143" s="48">
        <v>1091.52</v>
      </c>
      <c r="E143" s="48">
        <v>423.97</v>
      </c>
      <c r="F143" s="48">
        <v>0</v>
      </c>
      <c r="G143" s="48">
        <v>87.53</v>
      </c>
      <c r="H143" s="48">
        <v>1247.23</v>
      </c>
      <c r="I143" s="48">
        <v>780.09</v>
      </c>
      <c r="J143" s="48">
        <v>468.67</v>
      </c>
      <c r="K143" s="48">
        <v>69.37</v>
      </c>
      <c r="L143" s="48">
        <v>231.25</v>
      </c>
      <c r="M143" s="48"/>
      <c r="N143" s="48">
        <f t="shared" si="7"/>
        <v>26718.639999999996</v>
      </c>
      <c r="O143" s="48"/>
      <c r="P143" s="48"/>
      <c r="Q143" s="48" t="str">
        <f t="shared" si="8"/>
        <v>01158</v>
      </c>
      <c r="R143" s="48">
        <f t="shared" si="9"/>
        <v>26718.639999999996</v>
      </c>
    </row>
    <row r="144" spans="1:18">
      <c r="A144" t="s">
        <v>233</v>
      </c>
      <c r="B144" t="s">
        <v>1696</v>
      </c>
      <c r="C144" s="48">
        <v>486732.27</v>
      </c>
      <c r="D144" s="48">
        <v>26549.39</v>
      </c>
      <c r="E144" s="48">
        <v>4043.84</v>
      </c>
      <c r="F144" s="48">
        <v>0</v>
      </c>
      <c r="G144" s="48">
        <v>89.13</v>
      </c>
      <c r="H144" s="48">
        <v>39316.11</v>
      </c>
      <c r="I144" s="48">
        <v>28195.919999999998</v>
      </c>
      <c r="J144" s="48">
        <v>13053.47</v>
      </c>
      <c r="K144" s="48">
        <v>2714.91</v>
      </c>
      <c r="L144" s="48">
        <v>14595.15</v>
      </c>
      <c r="M144" s="48"/>
      <c r="N144" s="48">
        <f t="shared" si="7"/>
        <v>615290.19000000018</v>
      </c>
      <c r="O144" s="48"/>
      <c r="P144" s="48"/>
      <c r="Q144" s="48" t="str">
        <f t="shared" si="8"/>
        <v>08122</v>
      </c>
      <c r="R144" s="48">
        <f t="shared" si="9"/>
        <v>615290.19000000018</v>
      </c>
    </row>
    <row r="145" spans="1:18">
      <c r="A145" t="s">
        <v>628</v>
      </c>
      <c r="B145" t="s">
        <v>1897</v>
      </c>
      <c r="C145" s="48">
        <v>9182.2900000000009</v>
      </c>
      <c r="D145" s="48">
        <v>0</v>
      </c>
      <c r="E145" s="48">
        <v>0</v>
      </c>
      <c r="F145" s="48">
        <v>0</v>
      </c>
      <c r="G145" s="48">
        <v>85.63</v>
      </c>
      <c r="H145" s="48">
        <v>1342.8</v>
      </c>
      <c r="I145" s="48">
        <v>450.17</v>
      </c>
      <c r="J145" s="48">
        <v>0</v>
      </c>
      <c r="K145" s="48">
        <v>120.25</v>
      </c>
      <c r="L145" s="48">
        <v>0</v>
      </c>
      <c r="M145" s="48"/>
      <c r="N145" s="48">
        <f t="shared" si="7"/>
        <v>11181.14</v>
      </c>
      <c r="O145" s="48"/>
      <c r="P145" s="48"/>
      <c r="Q145" s="48" t="str">
        <f t="shared" si="8"/>
        <v>33183</v>
      </c>
      <c r="R145" s="48">
        <f t="shared" si="9"/>
        <v>11181.14</v>
      </c>
    </row>
    <row r="146" spans="1:18">
      <c r="A146" t="s">
        <v>539</v>
      </c>
      <c r="B146" t="s">
        <v>2491</v>
      </c>
      <c r="C146" s="48">
        <v>27760</v>
      </c>
      <c r="D146" s="48">
        <v>568.08000000000004</v>
      </c>
      <c r="E146" s="48">
        <v>0</v>
      </c>
      <c r="F146" s="48">
        <v>0</v>
      </c>
      <c r="G146" s="48">
        <v>97.82</v>
      </c>
      <c r="H146" s="48">
        <v>1312.28</v>
      </c>
      <c r="I146" s="48">
        <v>998.03</v>
      </c>
      <c r="J146" s="48">
        <v>0</v>
      </c>
      <c r="K146" s="48">
        <v>94.97</v>
      </c>
      <c r="L146" s="48">
        <v>0</v>
      </c>
      <c r="M146" s="48"/>
      <c r="N146" s="48">
        <f t="shared" si="7"/>
        <v>30831.18</v>
      </c>
      <c r="O146" s="48"/>
      <c r="P146" s="48"/>
      <c r="Q146" s="48" t="str">
        <f t="shared" si="8"/>
        <v>28144</v>
      </c>
      <c r="R146" s="48">
        <f t="shared" si="9"/>
        <v>30831.18</v>
      </c>
    </row>
    <row r="147" spans="1:18">
      <c r="A147" t="s">
        <v>1577</v>
      </c>
      <c r="B147" t="s">
        <v>1968</v>
      </c>
      <c r="C147" s="48">
        <v>13875.19</v>
      </c>
      <c r="D147" s="48">
        <v>0</v>
      </c>
      <c r="E147" s="48">
        <v>0</v>
      </c>
      <c r="F147" s="48">
        <v>0</v>
      </c>
      <c r="G147" s="48">
        <v>78.48</v>
      </c>
      <c r="H147" s="48">
        <v>245.12</v>
      </c>
      <c r="I147" s="48">
        <v>129.5</v>
      </c>
      <c r="J147" s="48">
        <v>0</v>
      </c>
      <c r="K147" s="48">
        <v>0</v>
      </c>
      <c r="L147" s="48">
        <v>0</v>
      </c>
      <c r="M147" s="48"/>
      <c r="N147" s="48">
        <f t="shared" si="7"/>
        <v>14328.29</v>
      </c>
      <c r="O147" s="48"/>
      <c r="P147" s="48"/>
      <c r="Q147" s="48" t="str">
        <f t="shared" si="8"/>
        <v>32903</v>
      </c>
      <c r="R147" s="48">
        <f t="shared" si="9"/>
        <v>14328.29</v>
      </c>
    </row>
    <row r="148" spans="1:18">
      <c r="A148" t="s">
        <v>1178</v>
      </c>
      <c r="B148" t="s">
        <v>1928</v>
      </c>
      <c r="C148" s="48">
        <v>38748.25</v>
      </c>
      <c r="D148" s="48">
        <v>944.56</v>
      </c>
      <c r="E148" s="48">
        <v>0</v>
      </c>
      <c r="F148" s="48">
        <v>0</v>
      </c>
      <c r="G148" s="48">
        <v>91.68</v>
      </c>
      <c r="H148" s="48">
        <v>4093.64</v>
      </c>
      <c r="I148" s="48">
        <v>2023.12</v>
      </c>
      <c r="J148" s="48">
        <v>0</v>
      </c>
      <c r="K148" s="48">
        <v>0</v>
      </c>
      <c r="L148" s="48">
        <v>0</v>
      </c>
      <c r="M148" s="48"/>
      <c r="N148" s="48">
        <f t="shared" si="7"/>
        <v>45901.25</v>
      </c>
      <c r="O148" s="48"/>
      <c r="P148" s="48"/>
      <c r="Q148" s="48" t="str">
        <f t="shared" si="8"/>
        <v>37903</v>
      </c>
      <c r="R148" s="48">
        <f t="shared" si="9"/>
        <v>45901.25</v>
      </c>
    </row>
    <row r="149" spans="1:18">
      <c r="A149" t="s">
        <v>414</v>
      </c>
      <c r="B149" t="s">
        <v>1790</v>
      </c>
      <c r="C149" s="48">
        <v>25675.26</v>
      </c>
      <c r="D149" s="48">
        <v>0</v>
      </c>
      <c r="E149" s="48">
        <v>0</v>
      </c>
      <c r="F149" s="48">
        <v>0</v>
      </c>
      <c r="G149" s="48">
        <v>90.48</v>
      </c>
      <c r="H149" s="48">
        <v>1322.77</v>
      </c>
      <c r="I149" s="48">
        <v>849.47</v>
      </c>
      <c r="J149" s="48">
        <v>0</v>
      </c>
      <c r="K149" s="48">
        <v>78.63</v>
      </c>
      <c r="L149" s="48">
        <v>977.43</v>
      </c>
      <c r="M149" s="48"/>
      <c r="N149" s="48">
        <f t="shared" si="7"/>
        <v>28994.04</v>
      </c>
      <c r="O149" s="48"/>
      <c r="P149" s="48"/>
      <c r="Q149" s="48" t="str">
        <f t="shared" si="8"/>
        <v>20406</v>
      </c>
      <c r="R149" s="48">
        <f t="shared" si="9"/>
        <v>28994.04</v>
      </c>
    </row>
    <row r="150" spans="1:18">
      <c r="A150" t="s">
        <v>677</v>
      </c>
      <c r="B150" t="s">
        <v>1924</v>
      </c>
      <c r="C150" s="48">
        <v>267272.58</v>
      </c>
      <c r="D150" s="48">
        <v>15479.78</v>
      </c>
      <c r="E150" s="48">
        <v>1707.69</v>
      </c>
      <c r="F150" s="48">
        <v>0</v>
      </c>
      <c r="G150" s="48">
        <v>97.53</v>
      </c>
      <c r="H150" s="48">
        <v>16015.05</v>
      </c>
      <c r="I150" s="48">
        <v>0</v>
      </c>
      <c r="J150" s="48">
        <v>11643.07</v>
      </c>
      <c r="K150" s="48">
        <v>1714.6</v>
      </c>
      <c r="L150" s="48">
        <v>8868.2800000000007</v>
      </c>
      <c r="M150" s="48"/>
      <c r="N150" s="48">
        <f t="shared" si="7"/>
        <v>322798.58000000007</v>
      </c>
      <c r="O150" s="48"/>
      <c r="P150" s="48"/>
      <c r="Q150" s="48" t="str">
        <f t="shared" si="8"/>
        <v>37504</v>
      </c>
      <c r="R150" s="48">
        <f t="shared" si="9"/>
        <v>322798.58000000007</v>
      </c>
    </row>
    <row r="151" spans="1:18">
      <c r="A151" t="s">
        <v>720</v>
      </c>
      <c r="B151" t="s">
        <v>1947</v>
      </c>
      <c r="C151" s="48">
        <v>51444.57</v>
      </c>
      <c r="D151" s="48">
        <v>5127.6499999999996</v>
      </c>
      <c r="E151" s="48">
        <v>1254.94</v>
      </c>
      <c r="F151" s="48">
        <v>0</v>
      </c>
      <c r="G151" s="48">
        <v>88.57</v>
      </c>
      <c r="H151" s="48">
        <v>7185.81</v>
      </c>
      <c r="I151" s="48">
        <v>3316.17</v>
      </c>
      <c r="J151" s="48">
        <v>6555.26</v>
      </c>
      <c r="K151" s="48">
        <v>0</v>
      </c>
      <c r="L151" s="48">
        <v>2036.56</v>
      </c>
      <c r="M151" s="48"/>
      <c r="N151" s="48">
        <f t="shared" si="7"/>
        <v>77009.53</v>
      </c>
      <c r="O151" s="48"/>
      <c r="P151" s="48"/>
      <c r="Q151" s="48" t="str">
        <f t="shared" si="8"/>
        <v>39120</v>
      </c>
      <c r="R151" s="48">
        <f t="shared" si="9"/>
        <v>77009.53</v>
      </c>
    </row>
    <row r="152" spans="1:18">
      <c r="A152" t="s">
        <v>253</v>
      </c>
      <c r="B152" t="s">
        <v>1706</v>
      </c>
      <c r="C152" s="48">
        <v>20501.349999999999</v>
      </c>
      <c r="D152" s="48">
        <v>753.89</v>
      </c>
      <c r="E152" s="48">
        <v>205.05</v>
      </c>
      <c r="F152" s="48">
        <v>0</v>
      </c>
      <c r="G152" s="48">
        <v>88.31</v>
      </c>
      <c r="H152" s="48">
        <v>703.01</v>
      </c>
      <c r="I152" s="48">
        <v>437.84</v>
      </c>
      <c r="J152" s="48">
        <v>297.54000000000002</v>
      </c>
      <c r="K152" s="48">
        <v>0</v>
      </c>
      <c r="L152" s="48">
        <v>0</v>
      </c>
      <c r="M152" s="48"/>
      <c r="N152" s="48">
        <f t="shared" si="7"/>
        <v>22986.989999999998</v>
      </c>
      <c r="O152" s="48"/>
      <c r="P152" s="48"/>
      <c r="Q152" s="48" t="str">
        <f t="shared" si="8"/>
        <v>09207</v>
      </c>
      <c r="R152" s="48">
        <f t="shared" si="9"/>
        <v>22986.989999999998</v>
      </c>
    </row>
    <row r="153" spans="1:18">
      <c r="A153" t="s">
        <v>189</v>
      </c>
      <c r="B153" t="s">
        <v>1672</v>
      </c>
      <c r="C153" s="48">
        <v>48937.78</v>
      </c>
      <c r="D153" s="48">
        <v>3003.21</v>
      </c>
      <c r="E153" s="48">
        <v>232.8</v>
      </c>
      <c r="F153" s="48">
        <v>0</v>
      </c>
      <c r="G153" s="48">
        <v>88</v>
      </c>
      <c r="H153" s="48">
        <v>4051.55</v>
      </c>
      <c r="I153" s="48">
        <v>2822.83</v>
      </c>
      <c r="J153" s="48">
        <v>4901.03</v>
      </c>
      <c r="K153" s="48">
        <v>251.3</v>
      </c>
      <c r="L153" s="48">
        <v>2093.61</v>
      </c>
      <c r="M153" s="48"/>
      <c r="N153" s="48">
        <f t="shared" si="7"/>
        <v>66382.11</v>
      </c>
      <c r="O153" s="48"/>
      <c r="P153" s="48"/>
      <c r="Q153" s="48" t="str">
        <f t="shared" si="8"/>
        <v>04019</v>
      </c>
      <c r="R153" s="48">
        <f t="shared" si="9"/>
        <v>66382.11</v>
      </c>
    </row>
    <row r="154" spans="1:18">
      <c r="A154" t="s">
        <v>464</v>
      </c>
      <c r="B154" t="s">
        <v>1815</v>
      </c>
      <c r="C154" s="48">
        <v>24187.53</v>
      </c>
      <c r="D154" s="48">
        <v>1614.14</v>
      </c>
      <c r="E154" s="48">
        <v>588.92999999999995</v>
      </c>
      <c r="F154" s="48">
        <v>0</v>
      </c>
      <c r="G154" s="48">
        <v>80.42</v>
      </c>
      <c r="H154" s="48">
        <v>2637.83</v>
      </c>
      <c r="I154" s="48">
        <v>815.55</v>
      </c>
      <c r="J154" s="48">
        <v>595.09</v>
      </c>
      <c r="K154" s="48">
        <v>354.59</v>
      </c>
      <c r="L154" s="48">
        <v>0</v>
      </c>
      <c r="M154" s="48"/>
      <c r="N154" s="48">
        <f t="shared" si="7"/>
        <v>30874.079999999998</v>
      </c>
      <c r="O154" s="48"/>
      <c r="P154" s="48"/>
      <c r="Q154" s="48" t="str">
        <f t="shared" si="8"/>
        <v>23311</v>
      </c>
      <c r="R154" s="48">
        <f t="shared" si="9"/>
        <v>30874.079999999998</v>
      </c>
    </row>
    <row r="155" spans="1:18">
      <c r="A155" t="s">
        <v>634</v>
      </c>
      <c r="B155" t="s">
        <v>1901</v>
      </c>
      <c r="C155" s="48">
        <v>36083.19</v>
      </c>
      <c r="D155" s="48">
        <v>1854.65</v>
      </c>
      <c r="E155" s="48">
        <v>0</v>
      </c>
      <c r="F155" s="48">
        <v>0</v>
      </c>
      <c r="G155" s="48">
        <v>86.25</v>
      </c>
      <c r="H155" s="48">
        <v>4051.55</v>
      </c>
      <c r="I155" s="48">
        <v>2372.66</v>
      </c>
      <c r="J155" s="48">
        <v>0</v>
      </c>
      <c r="K155" s="48">
        <v>0</v>
      </c>
      <c r="L155" s="48">
        <v>0</v>
      </c>
      <c r="M155" s="48"/>
      <c r="N155" s="48">
        <f t="shared" si="7"/>
        <v>44448.3</v>
      </c>
      <c r="O155" s="48"/>
      <c r="P155" s="48"/>
      <c r="Q155" s="48" t="str">
        <f t="shared" si="8"/>
        <v>33207</v>
      </c>
      <c r="R155" s="48">
        <f t="shared" si="9"/>
        <v>44448.3</v>
      </c>
    </row>
    <row r="156" spans="1:18">
      <c r="A156" t="s">
        <v>574</v>
      </c>
      <c r="B156" t="s">
        <v>1869</v>
      </c>
      <c r="C156" s="48">
        <v>841706.95</v>
      </c>
      <c r="D156" s="48">
        <v>65650.97</v>
      </c>
      <c r="E156" s="48">
        <v>17640.7</v>
      </c>
      <c r="F156" s="48">
        <v>0</v>
      </c>
      <c r="G156" s="48">
        <v>104.72</v>
      </c>
      <c r="H156" s="48">
        <v>54355.61</v>
      </c>
      <c r="I156" s="48">
        <v>33196.6</v>
      </c>
      <c r="J156" s="48">
        <v>42414.44</v>
      </c>
      <c r="K156" s="48">
        <v>4737.17</v>
      </c>
      <c r="L156" s="48">
        <v>0</v>
      </c>
      <c r="M156" s="48"/>
      <c r="N156" s="48">
        <f t="shared" si="7"/>
        <v>1059807.1599999997</v>
      </c>
      <c r="O156" s="48"/>
      <c r="P156" s="48"/>
      <c r="Q156" s="48" t="str">
        <f t="shared" si="8"/>
        <v>31025</v>
      </c>
      <c r="R156" s="48">
        <f t="shared" si="9"/>
        <v>1059807.1599999997</v>
      </c>
    </row>
    <row r="157" spans="1:18">
      <c r="A157" t="s">
        <v>303</v>
      </c>
      <c r="B157" t="s">
        <v>1731</v>
      </c>
      <c r="C157" s="48">
        <v>28783.3</v>
      </c>
      <c r="D157" s="48">
        <v>0</v>
      </c>
      <c r="E157" s="48">
        <v>0</v>
      </c>
      <c r="F157" s="48">
        <v>0</v>
      </c>
      <c r="G157" s="48">
        <v>93.57</v>
      </c>
      <c r="H157" s="48">
        <v>1919.4</v>
      </c>
      <c r="I157" s="48">
        <v>1404.48</v>
      </c>
      <c r="J157" s="48">
        <v>44.71</v>
      </c>
      <c r="K157" s="48">
        <v>137.21</v>
      </c>
      <c r="L157" s="48">
        <v>0</v>
      </c>
      <c r="M157" s="48"/>
      <c r="N157" s="48">
        <f t="shared" si="7"/>
        <v>32382.67</v>
      </c>
      <c r="O157" s="48"/>
      <c r="P157" s="48"/>
      <c r="Q157" s="48" t="str">
        <f t="shared" si="8"/>
        <v>14065</v>
      </c>
      <c r="R157" s="48">
        <f t="shared" si="9"/>
        <v>32382.67</v>
      </c>
    </row>
    <row r="158" spans="1:18">
      <c r="A158" t="s">
        <v>602</v>
      </c>
      <c r="B158" t="s">
        <v>1883</v>
      </c>
      <c r="C158" s="48">
        <v>738800.25</v>
      </c>
      <c r="D158" s="48">
        <v>46445.99</v>
      </c>
      <c r="E158" s="48">
        <v>31996.55</v>
      </c>
      <c r="F158" s="48">
        <v>0</v>
      </c>
      <c r="G158" s="48">
        <v>90.2</v>
      </c>
      <c r="H158" s="48">
        <v>38611.99</v>
      </c>
      <c r="I158" s="48">
        <v>3251.6</v>
      </c>
      <c r="J158" s="48">
        <v>11473.61</v>
      </c>
      <c r="K158" s="48">
        <v>4678.59</v>
      </c>
      <c r="L158" s="48">
        <v>15077.95</v>
      </c>
      <c r="M158" s="48"/>
      <c r="N158" s="48">
        <f t="shared" si="7"/>
        <v>890426.72999999986</v>
      </c>
      <c r="O158" s="48"/>
      <c r="P158" s="48"/>
      <c r="Q158" s="48" t="str">
        <f t="shared" si="8"/>
        <v>32354</v>
      </c>
      <c r="R158" s="48">
        <f t="shared" si="9"/>
        <v>890426.72999999986</v>
      </c>
    </row>
    <row r="159" spans="1:18">
      <c r="A159" t="s">
        <v>600</v>
      </c>
      <c r="B159" t="s">
        <v>1882</v>
      </c>
      <c r="C159" s="48">
        <v>136337.57999999999</v>
      </c>
      <c r="D159" s="48">
        <v>9310.25</v>
      </c>
      <c r="E159" s="48">
        <v>0</v>
      </c>
      <c r="F159" s="48">
        <v>0</v>
      </c>
      <c r="G159" s="48">
        <v>90.05</v>
      </c>
      <c r="H159" s="48">
        <v>6902.13</v>
      </c>
      <c r="I159" s="48">
        <v>0</v>
      </c>
      <c r="J159" s="48">
        <v>681.42</v>
      </c>
      <c r="K159" s="48">
        <v>752.34</v>
      </c>
      <c r="L159" s="48">
        <v>4164.1000000000004</v>
      </c>
      <c r="M159" s="48"/>
      <c r="N159" s="48">
        <f t="shared" si="7"/>
        <v>158237.87</v>
      </c>
      <c r="O159" s="48"/>
      <c r="P159" s="48"/>
      <c r="Q159" s="48" t="str">
        <f t="shared" si="8"/>
        <v>32326</v>
      </c>
      <c r="R159" s="48">
        <f t="shared" si="9"/>
        <v>158237.87</v>
      </c>
    </row>
    <row r="160" spans="1:18">
      <c r="A160" t="s">
        <v>344</v>
      </c>
      <c r="B160" t="s">
        <v>1752</v>
      </c>
      <c r="C160" s="48">
        <v>360731.03</v>
      </c>
      <c r="D160" s="48">
        <v>29345.37</v>
      </c>
      <c r="E160" s="48">
        <v>2705.13</v>
      </c>
      <c r="F160" s="48">
        <v>0</v>
      </c>
      <c r="G160" s="48">
        <v>102.19</v>
      </c>
      <c r="H160" s="48">
        <v>2848.85</v>
      </c>
      <c r="I160" s="48">
        <v>0</v>
      </c>
      <c r="J160" s="48">
        <v>5584.92</v>
      </c>
      <c r="K160" s="48">
        <v>2026.58</v>
      </c>
      <c r="L160" s="48">
        <v>0</v>
      </c>
      <c r="M160" s="48"/>
      <c r="N160" s="48">
        <f t="shared" si="7"/>
        <v>403344.07</v>
      </c>
      <c r="O160" s="48"/>
      <c r="P160" s="48"/>
      <c r="Q160" s="48" t="str">
        <f t="shared" si="8"/>
        <v>17400</v>
      </c>
      <c r="R160" s="48">
        <f t="shared" si="9"/>
        <v>403344.07</v>
      </c>
    </row>
    <row r="161" spans="1:18">
      <c r="A161" t="s">
        <v>679</v>
      </c>
      <c r="B161" t="s">
        <v>1925</v>
      </c>
      <c r="C161" s="48">
        <v>147226.20000000001</v>
      </c>
      <c r="D161" s="48">
        <v>6269.61</v>
      </c>
      <c r="E161" s="48">
        <v>0</v>
      </c>
      <c r="F161" s="48">
        <v>0</v>
      </c>
      <c r="G161" s="48">
        <v>98.23</v>
      </c>
      <c r="H161" s="48">
        <v>8493.59</v>
      </c>
      <c r="I161" s="48">
        <v>0</v>
      </c>
      <c r="J161" s="48">
        <v>7669.96</v>
      </c>
      <c r="K161" s="48">
        <v>918.6</v>
      </c>
      <c r="L161" s="48">
        <v>5530.59</v>
      </c>
      <c r="M161" s="48"/>
      <c r="N161" s="48">
        <f t="shared" si="7"/>
        <v>176206.78</v>
      </c>
      <c r="O161" s="48"/>
      <c r="P161" s="48"/>
      <c r="Q161" s="48" t="str">
        <f t="shared" si="8"/>
        <v>37505</v>
      </c>
      <c r="R161" s="48">
        <f t="shared" si="9"/>
        <v>176206.78</v>
      </c>
    </row>
    <row r="162" spans="1:18">
      <c r="A162" t="s">
        <v>482</v>
      </c>
      <c r="B162" t="s">
        <v>1823</v>
      </c>
      <c r="C162" s="48">
        <v>57694.559999999998</v>
      </c>
      <c r="D162" s="48">
        <v>4470.8900000000003</v>
      </c>
      <c r="E162" s="48">
        <v>1313.52</v>
      </c>
      <c r="F162" s="48">
        <v>0</v>
      </c>
      <c r="G162" s="48">
        <v>86.61</v>
      </c>
      <c r="H162" s="48">
        <v>2963.12</v>
      </c>
      <c r="I162" s="48">
        <v>154.16999999999999</v>
      </c>
      <c r="J162" s="48">
        <v>494.88</v>
      </c>
      <c r="K162" s="48">
        <v>331.46</v>
      </c>
      <c r="L162" s="48">
        <v>0</v>
      </c>
      <c r="M162" s="48"/>
      <c r="N162" s="48">
        <f t="shared" si="7"/>
        <v>67509.210000000006</v>
      </c>
      <c r="O162" s="48"/>
      <c r="P162" s="48"/>
      <c r="Q162" s="48" t="str">
        <f t="shared" si="8"/>
        <v>24350</v>
      </c>
      <c r="R162" s="48">
        <f t="shared" si="9"/>
        <v>67509.210000000006</v>
      </c>
    </row>
    <row r="163" spans="1:18">
      <c r="A163" t="s">
        <v>560</v>
      </c>
      <c r="B163" t="s">
        <v>1862</v>
      </c>
      <c r="C163" s="48">
        <v>19536.27</v>
      </c>
      <c r="D163" s="48">
        <v>13.87</v>
      </c>
      <c r="E163" s="48">
        <v>0</v>
      </c>
      <c r="F163" s="48">
        <v>0</v>
      </c>
      <c r="G163" s="48">
        <v>87.2</v>
      </c>
      <c r="H163" s="48">
        <v>217.38</v>
      </c>
      <c r="I163" s="48">
        <v>0</v>
      </c>
      <c r="J163" s="48">
        <v>0</v>
      </c>
      <c r="K163" s="48">
        <v>23.12</v>
      </c>
      <c r="L163" s="48">
        <v>0</v>
      </c>
      <c r="M163" s="48"/>
      <c r="N163" s="48">
        <f t="shared" si="7"/>
        <v>19877.84</v>
      </c>
      <c r="O163" s="48"/>
      <c r="P163" s="48"/>
      <c r="Q163" s="48" t="str">
        <f t="shared" si="8"/>
        <v>30031</v>
      </c>
      <c r="R163" s="48">
        <f t="shared" si="9"/>
        <v>19877.84</v>
      </c>
    </row>
    <row r="164" spans="1:18">
      <c r="A164" t="s">
        <v>578</v>
      </c>
      <c r="B164" t="s">
        <v>1871</v>
      </c>
      <c r="C164" s="48">
        <v>423413.08</v>
      </c>
      <c r="D164" s="48">
        <v>30547.85</v>
      </c>
      <c r="E164" s="48">
        <v>7689.72</v>
      </c>
      <c r="F164" s="48">
        <v>0</v>
      </c>
      <c r="G164" s="48">
        <v>102.05</v>
      </c>
      <c r="H164" s="48">
        <v>24288.01</v>
      </c>
      <c r="I164" s="48">
        <v>3098.08</v>
      </c>
      <c r="J164" s="48">
        <v>23958.75</v>
      </c>
      <c r="K164" s="48">
        <v>2928.9</v>
      </c>
      <c r="L164" s="48">
        <v>6607.3</v>
      </c>
      <c r="M164" s="48"/>
      <c r="N164" s="48">
        <f t="shared" si="7"/>
        <v>522633.74</v>
      </c>
      <c r="O164" s="48"/>
      <c r="P164" s="48"/>
      <c r="Q164" s="48" t="str">
        <f t="shared" si="8"/>
        <v>31103</v>
      </c>
      <c r="R164" s="48">
        <f t="shared" si="9"/>
        <v>522633.74</v>
      </c>
    </row>
    <row r="165" spans="1:18">
      <c r="A165" t="s">
        <v>305</v>
      </c>
      <c r="B165" t="s">
        <v>1732</v>
      </c>
      <c r="C165" s="48">
        <v>103985.58</v>
      </c>
      <c r="D165" s="48">
        <v>10729.65</v>
      </c>
      <c r="E165" s="48">
        <v>2539.71</v>
      </c>
      <c r="F165" s="48">
        <v>0</v>
      </c>
      <c r="G165" s="48">
        <v>91.67</v>
      </c>
      <c r="H165" s="48">
        <v>5929.21</v>
      </c>
      <c r="I165" s="48">
        <v>0</v>
      </c>
      <c r="J165" s="48">
        <v>992.48</v>
      </c>
      <c r="K165" s="48">
        <v>633.33000000000004</v>
      </c>
      <c r="L165" s="48">
        <v>5824.99</v>
      </c>
      <c r="M165" s="48"/>
      <c r="N165" s="48">
        <f t="shared" si="7"/>
        <v>130726.62000000001</v>
      </c>
      <c r="O165" s="48"/>
      <c r="P165" s="48"/>
      <c r="Q165" s="48" t="str">
        <f t="shared" si="8"/>
        <v>14066</v>
      </c>
      <c r="R165" s="48">
        <f t="shared" si="9"/>
        <v>130726.62000000001</v>
      </c>
    </row>
    <row r="166" spans="1:18">
      <c r="A166" t="s">
        <v>422</v>
      </c>
      <c r="B166" t="s">
        <v>1794</v>
      </c>
      <c r="C166" s="48">
        <v>28400.959999999999</v>
      </c>
      <c r="D166" s="48">
        <v>7947.39</v>
      </c>
      <c r="E166" s="48">
        <v>4552.6000000000004</v>
      </c>
      <c r="F166" s="48">
        <v>0</v>
      </c>
      <c r="G166" s="48">
        <v>89.36</v>
      </c>
      <c r="H166" s="48">
        <v>2383.4499999999998</v>
      </c>
      <c r="I166" s="48">
        <v>1782.19</v>
      </c>
      <c r="J166" s="48">
        <v>0</v>
      </c>
      <c r="K166" s="48">
        <v>172.67</v>
      </c>
      <c r="L166" s="48">
        <v>2437.41</v>
      </c>
      <c r="M166" s="48"/>
      <c r="N166" s="48">
        <f t="shared" si="7"/>
        <v>47766.03</v>
      </c>
      <c r="O166" s="48"/>
      <c r="P166" s="48"/>
      <c r="Q166" s="48" t="str">
        <f t="shared" si="8"/>
        <v>21214</v>
      </c>
      <c r="R166" s="48">
        <f t="shared" si="9"/>
        <v>47766.03</v>
      </c>
    </row>
    <row r="167" spans="1:18">
      <c r="A167" t="s">
        <v>289</v>
      </c>
      <c r="B167" t="s">
        <v>1724</v>
      </c>
      <c r="C167" s="48">
        <v>595478.28</v>
      </c>
      <c r="D167" s="48">
        <v>52963.12</v>
      </c>
      <c r="E167" s="48">
        <v>7053.23</v>
      </c>
      <c r="F167" s="48">
        <v>31732.55</v>
      </c>
      <c r="G167" s="48">
        <v>87.8</v>
      </c>
      <c r="H167" s="48">
        <v>52721.08</v>
      </c>
      <c r="I167" s="48">
        <v>33434.58</v>
      </c>
      <c r="J167" s="48">
        <v>28999.13</v>
      </c>
      <c r="K167" s="48">
        <v>3681.55</v>
      </c>
      <c r="L167" s="48">
        <v>0</v>
      </c>
      <c r="M167" s="48"/>
      <c r="N167" s="48">
        <f t="shared" si="7"/>
        <v>806151.32000000007</v>
      </c>
      <c r="O167" s="48"/>
      <c r="P167" s="48"/>
      <c r="Q167" s="48" t="str">
        <f t="shared" si="8"/>
        <v>13161</v>
      </c>
      <c r="R167" s="48">
        <f t="shared" si="9"/>
        <v>806151.32000000007</v>
      </c>
    </row>
    <row r="168" spans="1:18">
      <c r="A168" t="s">
        <v>420</v>
      </c>
      <c r="B168" t="s">
        <v>1793</v>
      </c>
      <c r="C168" s="48">
        <v>48728.11</v>
      </c>
      <c r="D168" s="48">
        <v>3744.76</v>
      </c>
      <c r="E168" s="48">
        <v>999.01</v>
      </c>
      <c r="F168" s="48">
        <v>0</v>
      </c>
      <c r="G168" s="48">
        <v>88.68</v>
      </c>
      <c r="H168" s="48">
        <v>3959.05</v>
      </c>
      <c r="I168" s="48">
        <v>2912.25</v>
      </c>
      <c r="J168" s="48">
        <v>1698.94</v>
      </c>
      <c r="K168" s="48">
        <v>254.38</v>
      </c>
      <c r="L168" s="48">
        <v>3058.71</v>
      </c>
      <c r="M168" s="48"/>
      <c r="N168" s="48">
        <f t="shared" si="7"/>
        <v>65443.890000000007</v>
      </c>
      <c r="O168" s="48"/>
      <c r="P168" s="48"/>
      <c r="Q168" s="48" t="str">
        <f t="shared" si="8"/>
        <v>21206</v>
      </c>
      <c r="R168" s="48">
        <f t="shared" si="9"/>
        <v>65443.890000000007</v>
      </c>
    </row>
    <row r="169" spans="1:18">
      <c r="A169" t="s">
        <v>737</v>
      </c>
      <c r="B169" t="s">
        <v>1956</v>
      </c>
      <c r="C169" s="48">
        <v>63710.23</v>
      </c>
      <c r="D169" s="48">
        <v>5779.78</v>
      </c>
      <c r="E169" s="48">
        <v>0</v>
      </c>
      <c r="F169" s="48">
        <v>0</v>
      </c>
      <c r="G169" s="48">
        <v>88.34</v>
      </c>
      <c r="H169" s="48">
        <v>8116.98</v>
      </c>
      <c r="I169" s="48">
        <v>3738.59</v>
      </c>
      <c r="J169" s="48">
        <v>2876.79</v>
      </c>
      <c r="K169" s="48">
        <v>346.89</v>
      </c>
      <c r="L169" s="48">
        <v>0</v>
      </c>
      <c r="M169" s="48"/>
      <c r="N169" s="48">
        <f t="shared" si="7"/>
        <v>84657.599999999991</v>
      </c>
      <c r="O169" s="48"/>
      <c r="P169" s="48"/>
      <c r="Q169" s="48" t="str">
        <f t="shared" si="8"/>
        <v>39209</v>
      </c>
      <c r="R169" s="48">
        <f t="shared" si="9"/>
        <v>84657.599999999991</v>
      </c>
    </row>
    <row r="170" spans="1:18">
      <c r="A170" t="s">
        <v>683</v>
      </c>
      <c r="B170" t="s">
        <v>1927</v>
      </c>
      <c r="C170" s="48">
        <v>121903.93</v>
      </c>
      <c r="D170" s="48">
        <v>7943.79</v>
      </c>
      <c r="E170" s="48">
        <v>519.66999999999996</v>
      </c>
      <c r="F170" s="48">
        <v>0</v>
      </c>
      <c r="G170" s="48">
        <v>92.66</v>
      </c>
      <c r="H170" s="48">
        <v>9151.4500000000007</v>
      </c>
      <c r="I170" s="48">
        <v>3652.42</v>
      </c>
      <c r="J170" s="48">
        <v>2394.09</v>
      </c>
      <c r="K170" s="48">
        <v>692.89</v>
      </c>
      <c r="L170" s="48">
        <v>0</v>
      </c>
      <c r="M170" s="48"/>
      <c r="N170" s="48">
        <f t="shared" si="7"/>
        <v>146350.90000000002</v>
      </c>
      <c r="O170" s="48"/>
      <c r="P170" s="48"/>
      <c r="Q170" s="48" t="str">
        <f t="shared" si="8"/>
        <v>37507</v>
      </c>
      <c r="R170" s="48">
        <f t="shared" si="9"/>
        <v>146350.90000000002</v>
      </c>
    </row>
    <row r="171" spans="1:18">
      <c r="A171" t="s">
        <v>558</v>
      </c>
      <c r="B171" t="s">
        <v>1861</v>
      </c>
      <c r="C171" s="48">
        <v>8401.36</v>
      </c>
      <c r="D171" s="48">
        <v>0</v>
      </c>
      <c r="E171" s="48">
        <v>0</v>
      </c>
      <c r="F171" s="48">
        <v>0</v>
      </c>
      <c r="G171" s="48">
        <v>100.27</v>
      </c>
      <c r="H171" s="48">
        <v>214.08</v>
      </c>
      <c r="I171" s="48">
        <v>0</v>
      </c>
      <c r="J171" s="48">
        <v>0</v>
      </c>
      <c r="K171" s="48">
        <v>34.32</v>
      </c>
      <c r="L171" s="48">
        <v>0</v>
      </c>
      <c r="M171" s="48"/>
      <c r="N171" s="48">
        <f t="shared" si="7"/>
        <v>8750.0300000000007</v>
      </c>
      <c r="O171" s="48"/>
      <c r="P171" s="48"/>
      <c r="Q171" s="48" t="str">
        <f t="shared" si="8"/>
        <v>30029</v>
      </c>
      <c r="R171" s="48">
        <f t="shared" si="9"/>
        <v>8750.0300000000007</v>
      </c>
    </row>
    <row r="172" spans="1:18">
      <c r="A172" t="s">
        <v>554</v>
      </c>
      <c r="B172" t="s">
        <v>1859</v>
      </c>
      <c r="C172" s="48">
        <v>493596.73</v>
      </c>
      <c r="D172" s="48">
        <v>36749.14</v>
      </c>
      <c r="E172" s="48">
        <v>3218.55</v>
      </c>
      <c r="F172" s="48">
        <v>40813.769999999997</v>
      </c>
      <c r="G172" s="48">
        <v>98.2</v>
      </c>
      <c r="H172" s="48">
        <v>45627.78</v>
      </c>
      <c r="I172" s="48">
        <v>29624.81</v>
      </c>
      <c r="J172" s="48">
        <v>50795.76</v>
      </c>
      <c r="K172" s="48">
        <v>3140.85</v>
      </c>
      <c r="L172" s="48">
        <v>16831.78</v>
      </c>
      <c r="M172" s="48"/>
      <c r="N172" s="48">
        <f t="shared" si="7"/>
        <v>720497.37000000011</v>
      </c>
      <c r="O172" s="48"/>
      <c r="P172" s="48"/>
      <c r="Q172" s="48" t="str">
        <f t="shared" si="8"/>
        <v>29320</v>
      </c>
      <c r="R172" s="48">
        <f t="shared" si="9"/>
        <v>720497.37000000011</v>
      </c>
    </row>
    <row r="173" spans="1:18">
      <c r="A173" t="s">
        <v>1176</v>
      </c>
      <c r="B173" t="s">
        <v>1768</v>
      </c>
      <c r="C173" s="48">
        <v>47748.15</v>
      </c>
      <c r="D173" s="48">
        <v>2009.86</v>
      </c>
      <c r="E173" s="48">
        <v>0</v>
      </c>
      <c r="F173" s="48">
        <v>0</v>
      </c>
      <c r="G173" s="48">
        <v>97.46</v>
      </c>
      <c r="H173" s="48">
        <v>3379.13</v>
      </c>
      <c r="I173" s="48">
        <v>2351.75</v>
      </c>
      <c r="J173" s="48">
        <v>0</v>
      </c>
      <c r="K173" s="48">
        <v>0</v>
      </c>
      <c r="L173" s="48">
        <v>0</v>
      </c>
      <c r="M173" s="48"/>
      <c r="N173" s="48">
        <f t="shared" si="7"/>
        <v>55586.35</v>
      </c>
      <c r="O173" s="48"/>
      <c r="P173" s="48"/>
      <c r="Q173" s="48" t="str">
        <f t="shared" si="8"/>
        <v>17903</v>
      </c>
      <c r="R173" s="48">
        <f t="shared" si="9"/>
        <v>55586.35</v>
      </c>
    </row>
    <row r="174" spans="1:18">
      <c r="A174" t="s">
        <v>568</v>
      </c>
      <c r="B174" t="s">
        <v>1866</v>
      </c>
      <c r="C174" s="48">
        <v>1365437.49</v>
      </c>
      <c r="D174" s="48">
        <v>53555.16</v>
      </c>
      <c r="E174" s="48">
        <v>18355.64</v>
      </c>
      <c r="F174" s="48">
        <v>75269.02</v>
      </c>
      <c r="G174" s="48">
        <v>103.68</v>
      </c>
      <c r="H174" s="48">
        <v>90570.25</v>
      </c>
      <c r="I174" s="48">
        <v>43591.46</v>
      </c>
      <c r="J174" s="48">
        <v>121974.94</v>
      </c>
      <c r="K174" s="48">
        <v>7777.04</v>
      </c>
      <c r="L174" s="48">
        <v>0</v>
      </c>
      <c r="M174" s="48"/>
      <c r="N174" s="48">
        <f t="shared" si="7"/>
        <v>1776634.6799999997</v>
      </c>
      <c r="O174" s="48"/>
      <c r="P174" s="48"/>
      <c r="Q174" s="48" t="str">
        <f t="shared" si="8"/>
        <v>31006</v>
      </c>
      <c r="R174" s="48">
        <f t="shared" si="9"/>
        <v>1776634.6799999997</v>
      </c>
    </row>
    <row r="175" spans="1:18">
      <c r="A175" t="s">
        <v>713</v>
      </c>
      <c r="B175" t="s">
        <v>1943</v>
      </c>
      <c r="C175" s="48">
        <v>90234.96</v>
      </c>
      <c r="D175" s="48">
        <v>11545.69</v>
      </c>
      <c r="E175" s="48">
        <v>6071.16</v>
      </c>
      <c r="F175" s="48">
        <v>0</v>
      </c>
      <c r="G175" s="48">
        <v>88.31</v>
      </c>
      <c r="H175" s="48">
        <v>6714.05</v>
      </c>
      <c r="I175" s="48">
        <v>5861.5</v>
      </c>
      <c r="J175" s="48">
        <v>1735.94</v>
      </c>
      <c r="K175" s="48">
        <v>558.1</v>
      </c>
      <c r="L175" s="48">
        <v>3667.67</v>
      </c>
      <c r="M175" s="48"/>
      <c r="N175" s="48">
        <f t="shared" si="7"/>
        <v>126477.38000000002</v>
      </c>
      <c r="O175" s="48"/>
      <c r="P175" s="48"/>
      <c r="Q175" s="48" t="str">
        <f t="shared" si="8"/>
        <v>39003</v>
      </c>
      <c r="R175" s="48">
        <f t="shared" si="9"/>
        <v>126477.38000000002</v>
      </c>
    </row>
    <row r="176" spans="1:18">
      <c r="A176" t="s">
        <v>416</v>
      </c>
      <c r="B176" t="s">
        <v>1791</v>
      </c>
      <c r="C176" s="48">
        <v>54927.23</v>
      </c>
      <c r="D176" s="48">
        <v>12754.38</v>
      </c>
      <c r="E176" s="48">
        <v>3732.43</v>
      </c>
      <c r="F176" s="48">
        <v>0</v>
      </c>
      <c r="G176" s="48">
        <v>87.34</v>
      </c>
      <c r="H176" s="48">
        <v>3754.01</v>
      </c>
      <c r="I176" s="48">
        <v>0</v>
      </c>
      <c r="J176" s="48">
        <v>608.97</v>
      </c>
      <c r="K176" s="48">
        <v>376.17</v>
      </c>
      <c r="L176" s="48">
        <v>0</v>
      </c>
      <c r="M176" s="48"/>
      <c r="N176" s="48">
        <f t="shared" si="7"/>
        <v>76240.529999999984</v>
      </c>
      <c r="O176" s="48"/>
      <c r="P176" s="48"/>
      <c r="Q176" s="48" t="str">
        <f t="shared" si="8"/>
        <v>21014</v>
      </c>
      <c r="R176" s="48">
        <f t="shared" si="9"/>
        <v>76240.529999999984</v>
      </c>
    </row>
    <row r="177" spans="1:18">
      <c r="A177" t="s">
        <v>494</v>
      </c>
      <c r="B177" t="s">
        <v>1829</v>
      </c>
      <c r="C177" s="48">
        <v>29563.39</v>
      </c>
      <c r="D177" s="48">
        <v>2368.0300000000002</v>
      </c>
      <c r="E177" s="48">
        <v>1162.43</v>
      </c>
      <c r="F177" s="48">
        <v>0</v>
      </c>
      <c r="G177" s="48">
        <v>86.61</v>
      </c>
      <c r="H177" s="48">
        <v>1833.06</v>
      </c>
      <c r="I177" s="48">
        <v>1427.61</v>
      </c>
      <c r="J177" s="48">
        <v>279.05</v>
      </c>
      <c r="K177" s="48">
        <v>138.76</v>
      </c>
      <c r="L177" s="48">
        <v>0</v>
      </c>
      <c r="M177" s="48"/>
      <c r="N177" s="48">
        <f t="shared" si="7"/>
        <v>36858.94</v>
      </c>
      <c r="O177" s="48"/>
      <c r="P177" s="48"/>
      <c r="Q177" s="48" t="str">
        <f t="shared" si="8"/>
        <v>25155</v>
      </c>
      <c r="R177" s="48">
        <f t="shared" si="9"/>
        <v>36858.94</v>
      </c>
    </row>
    <row r="178" spans="1:18">
      <c r="A178" t="s">
        <v>472</v>
      </c>
      <c r="B178" t="s">
        <v>2394</v>
      </c>
      <c r="C178" s="48">
        <v>23233.22</v>
      </c>
      <c r="D178" s="48">
        <v>843.3</v>
      </c>
      <c r="E178" s="48">
        <v>929.64</v>
      </c>
      <c r="F178" s="48">
        <v>0</v>
      </c>
      <c r="G178" s="48">
        <v>90.64</v>
      </c>
      <c r="H178" s="48">
        <v>1742.11</v>
      </c>
      <c r="I178" s="48">
        <v>800.14</v>
      </c>
      <c r="J178" s="48">
        <v>0</v>
      </c>
      <c r="K178" s="48">
        <v>0</v>
      </c>
      <c r="L178" s="48">
        <v>205.05</v>
      </c>
      <c r="M178" s="48"/>
      <c r="N178" s="48">
        <f t="shared" si="7"/>
        <v>27844.1</v>
      </c>
      <c r="O178" s="48"/>
      <c r="P178" s="48"/>
      <c r="Q178" s="48" t="str">
        <f t="shared" si="8"/>
        <v>24014</v>
      </c>
      <c r="R178" s="48">
        <f t="shared" si="9"/>
        <v>27844.1</v>
      </c>
    </row>
    <row r="179" spans="1:18">
      <c r="A179" t="s">
        <v>499</v>
      </c>
      <c r="B179" t="s">
        <v>1832</v>
      </c>
      <c r="C179" s="48">
        <v>69358.97</v>
      </c>
      <c r="D179" s="48">
        <v>8627.2800000000007</v>
      </c>
      <c r="E179" s="48">
        <v>3303.83</v>
      </c>
      <c r="F179" s="48">
        <v>0</v>
      </c>
      <c r="G179" s="48">
        <v>87.02</v>
      </c>
      <c r="H179" s="48">
        <v>6858.97</v>
      </c>
      <c r="I179" s="48">
        <v>5264.86</v>
      </c>
      <c r="J179" s="48">
        <v>0</v>
      </c>
      <c r="K179" s="48">
        <v>510.3</v>
      </c>
      <c r="L179" s="48">
        <v>0</v>
      </c>
      <c r="M179" s="48"/>
      <c r="N179" s="48">
        <f t="shared" si="7"/>
        <v>94011.23000000001</v>
      </c>
      <c r="O179" s="48"/>
      <c r="P179" s="48"/>
      <c r="Q179" s="48" t="str">
        <f t="shared" si="8"/>
        <v>26056</v>
      </c>
      <c r="R179" s="48">
        <f t="shared" si="9"/>
        <v>94011.23000000001</v>
      </c>
    </row>
    <row r="180" spans="1:18">
      <c r="A180" t="s">
        <v>598</v>
      </c>
      <c r="B180" t="s">
        <v>1881</v>
      </c>
      <c r="C180" s="48">
        <v>103998.39999999999</v>
      </c>
      <c r="D180" s="48">
        <v>9102.24</v>
      </c>
      <c r="E180" s="48">
        <v>532.32000000000005</v>
      </c>
      <c r="F180" s="48">
        <v>0</v>
      </c>
      <c r="G180" s="48">
        <v>90.38</v>
      </c>
      <c r="H180" s="48">
        <v>4744.33</v>
      </c>
      <c r="I180" s="48">
        <v>19.239999999999998</v>
      </c>
      <c r="J180" s="48">
        <v>303.04000000000002</v>
      </c>
      <c r="K180" s="48">
        <v>634.92999999999995</v>
      </c>
      <c r="L180" s="48">
        <v>5369.64</v>
      </c>
      <c r="M180" s="48"/>
      <c r="N180" s="48">
        <f t="shared" si="7"/>
        <v>124794.52</v>
      </c>
      <c r="O180" s="48"/>
      <c r="P180" s="48"/>
      <c r="Q180" s="48" t="str">
        <f t="shared" si="8"/>
        <v>32325</v>
      </c>
      <c r="R180" s="48">
        <f t="shared" si="9"/>
        <v>124794.52</v>
      </c>
    </row>
    <row r="181" spans="1:18">
      <c r="A181" t="s">
        <v>681</v>
      </c>
      <c r="B181" t="s">
        <v>1926</v>
      </c>
      <c r="C181" s="48">
        <v>161730.74</v>
      </c>
      <c r="D181" s="48">
        <v>11395.2</v>
      </c>
      <c r="E181" s="48">
        <v>1287.74</v>
      </c>
      <c r="F181" s="48">
        <v>0</v>
      </c>
      <c r="G181" s="48">
        <v>94.3</v>
      </c>
      <c r="H181" s="48">
        <v>10532.35</v>
      </c>
      <c r="I181" s="48">
        <v>9543.66</v>
      </c>
      <c r="J181" s="48">
        <v>7983.01</v>
      </c>
      <c r="K181" s="48">
        <v>892.26</v>
      </c>
      <c r="L181" s="48">
        <v>6910.98</v>
      </c>
      <c r="M181" s="48"/>
      <c r="N181" s="48">
        <f t="shared" si="7"/>
        <v>210370.24000000002</v>
      </c>
      <c r="O181" s="48"/>
      <c r="P181" s="48"/>
      <c r="Q181" s="48" t="str">
        <f t="shared" si="8"/>
        <v>37506</v>
      </c>
      <c r="R181" s="48">
        <f t="shared" si="9"/>
        <v>210370.24000000002</v>
      </c>
    </row>
    <row r="182" spans="1:18">
      <c r="A182" t="s">
        <v>301</v>
      </c>
      <c r="B182" t="s">
        <v>1730</v>
      </c>
      <c r="C182" s="48">
        <v>51267.27</v>
      </c>
      <c r="D182" s="48">
        <v>1967.19</v>
      </c>
      <c r="E182" s="48">
        <v>692.21</v>
      </c>
      <c r="F182" s="48">
        <v>0</v>
      </c>
      <c r="G182" s="48">
        <v>88.95</v>
      </c>
      <c r="H182" s="48">
        <v>4498.6400000000003</v>
      </c>
      <c r="I182" s="48">
        <v>2822.83</v>
      </c>
      <c r="J182" s="48">
        <v>374.63</v>
      </c>
      <c r="K182" s="48">
        <v>274.42</v>
      </c>
      <c r="L182" s="48">
        <v>2047.36</v>
      </c>
      <c r="M182" s="48"/>
      <c r="N182" s="48">
        <f t="shared" si="7"/>
        <v>64033.499999999993</v>
      </c>
      <c r="O182" s="48"/>
      <c r="P182" s="48"/>
      <c r="Q182" s="48" t="str">
        <f t="shared" si="8"/>
        <v>14064</v>
      </c>
      <c r="R182" s="48">
        <f t="shared" si="9"/>
        <v>64033.499999999993</v>
      </c>
    </row>
    <row r="183" spans="1:18">
      <c r="A183" t="s">
        <v>269</v>
      </c>
      <c r="B183" t="s">
        <v>1714</v>
      </c>
      <c r="C183" s="48">
        <v>149611.5</v>
      </c>
      <c r="D183" s="48">
        <v>11514.86</v>
      </c>
      <c r="E183" s="48">
        <v>3030.96</v>
      </c>
      <c r="F183" s="48">
        <v>0</v>
      </c>
      <c r="G183" s="48">
        <v>88.02</v>
      </c>
      <c r="H183" s="48">
        <v>15086.95</v>
      </c>
      <c r="I183" s="48">
        <v>9115.99</v>
      </c>
      <c r="J183" s="48">
        <v>17891.28</v>
      </c>
      <c r="K183" s="48">
        <v>858.72</v>
      </c>
      <c r="L183" s="48">
        <v>1356.69</v>
      </c>
      <c r="M183" s="48"/>
      <c r="N183" s="48">
        <f t="shared" si="7"/>
        <v>208554.96999999997</v>
      </c>
      <c r="O183" s="48"/>
      <c r="P183" s="48"/>
      <c r="Q183" s="48" t="str">
        <f t="shared" si="8"/>
        <v>11051</v>
      </c>
      <c r="R183" s="48">
        <f t="shared" si="9"/>
        <v>208554.96999999997</v>
      </c>
    </row>
    <row r="184" spans="1:18">
      <c r="A184" t="s">
        <v>378</v>
      </c>
      <c r="B184" t="s">
        <v>1771</v>
      </c>
      <c r="C184" s="48">
        <v>493063.3</v>
      </c>
      <c r="D184" s="48">
        <v>34049.18</v>
      </c>
      <c r="E184" s="48">
        <v>9695.83</v>
      </c>
      <c r="F184" s="48">
        <v>0</v>
      </c>
      <c r="G184" s="48">
        <v>106.79</v>
      </c>
      <c r="H184" s="48">
        <v>22308.87</v>
      </c>
      <c r="I184" s="48">
        <v>1801.86</v>
      </c>
      <c r="J184" s="48">
        <v>9120.2900000000009</v>
      </c>
      <c r="K184" s="48">
        <v>2832.57</v>
      </c>
      <c r="L184" s="48">
        <v>0</v>
      </c>
      <c r="M184" s="48"/>
      <c r="N184" s="48">
        <f t="shared" si="7"/>
        <v>572978.68999999994</v>
      </c>
      <c r="O184" s="48"/>
      <c r="P184" s="48"/>
      <c r="Q184" s="48" t="str">
        <f t="shared" si="8"/>
        <v>18400</v>
      </c>
      <c r="R184" s="48">
        <f t="shared" si="9"/>
        <v>572978.68999999994</v>
      </c>
    </row>
    <row r="185" spans="1:18">
      <c r="A185" t="s">
        <v>468</v>
      </c>
      <c r="B185" t="s">
        <v>1817</v>
      </c>
      <c r="C185" s="48">
        <v>179178.6</v>
      </c>
      <c r="D185" s="48">
        <v>19520.23</v>
      </c>
      <c r="E185" s="48">
        <v>7013.82</v>
      </c>
      <c r="F185" s="48">
        <v>0</v>
      </c>
      <c r="G185" s="48">
        <v>98.96</v>
      </c>
      <c r="H185" s="48">
        <v>14500.74</v>
      </c>
      <c r="I185" s="48">
        <v>7571.53</v>
      </c>
      <c r="J185" s="48">
        <v>10315.24</v>
      </c>
      <c r="K185" s="48">
        <v>1099.9000000000001</v>
      </c>
      <c r="L185" s="48">
        <v>3888.5</v>
      </c>
      <c r="M185" s="48"/>
      <c r="N185" s="48">
        <f t="shared" si="7"/>
        <v>243187.52</v>
      </c>
      <c r="O185" s="48"/>
      <c r="P185" s="48"/>
      <c r="Q185" s="48" t="str">
        <f t="shared" si="8"/>
        <v>23403</v>
      </c>
      <c r="R185" s="48">
        <f t="shared" si="9"/>
        <v>243187.52</v>
      </c>
    </row>
    <row r="186" spans="1:18">
      <c r="A186" t="s">
        <v>497</v>
      </c>
      <c r="B186" t="s">
        <v>1831</v>
      </c>
      <c r="C186" s="48">
        <v>19513.14</v>
      </c>
      <c r="D186" s="48">
        <v>1.55</v>
      </c>
      <c r="E186" s="48">
        <v>0</v>
      </c>
      <c r="F186" s="48">
        <v>0</v>
      </c>
      <c r="G186" s="48">
        <v>84.3</v>
      </c>
      <c r="H186" s="48">
        <v>306.8</v>
      </c>
      <c r="I186" s="48">
        <v>235.88</v>
      </c>
      <c r="J186" s="48">
        <v>0</v>
      </c>
      <c r="K186" s="48">
        <v>0</v>
      </c>
      <c r="L186" s="48">
        <v>228.17</v>
      </c>
      <c r="M186" s="48"/>
      <c r="N186" s="48">
        <f t="shared" si="7"/>
        <v>20369.839999999997</v>
      </c>
      <c r="O186" s="48"/>
      <c r="P186" s="48"/>
      <c r="Q186" s="48" t="str">
        <f t="shared" si="8"/>
        <v>25200</v>
      </c>
      <c r="R186" s="48">
        <f t="shared" si="9"/>
        <v>20369.839999999997</v>
      </c>
    </row>
    <row r="187" spans="1:18">
      <c r="A187" t="s">
        <v>642</v>
      </c>
      <c r="B187" t="s">
        <v>1905</v>
      </c>
      <c r="C187" s="48">
        <v>1123237.92</v>
      </c>
      <c r="D187" s="48">
        <v>71716.210000000006</v>
      </c>
      <c r="E187" s="48">
        <v>18085.54</v>
      </c>
      <c r="F187" s="48">
        <v>0</v>
      </c>
      <c r="G187" s="48">
        <v>88.23</v>
      </c>
      <c r="H187" s="48">
        <v>67072.649999999994</v>
      </c>
      <c r="I187" s="48">
        <v>21114.95</v>
      </c>
      <c r="J187" s="48">
        <v>26278.06</v>
      </c>
      <c r="K187" s="48">
        <v>6481.25</v>
      </c>
      <c r="L187" s="48">
        <v>12463</v>
      </c>
      <c r="M187" s="48"/>
      <c r="N187" s="48">
        <f t="shared" si="7"/>
        <v>1346537.8099999998</v>
      </c>
      <c r="O187" s="48"/>
      <c r="P187" s="48"/>
      <c r="Q187" s="48" t="str">
        <f t="shared" si="8"/>
        <v>34003</v>
      </c>
      <c r="R187" s="48">
        <f t="shared" si="9"/>
        <v>1346537.8099999998</v>
      </c>
    </row>
    <row r="188" spans="1:18">
      <c r="A188" t="s">
        <v>636</v>
      </c>
      <c r="B188" t="s">
        <v>1902</v>
      </c>
      <c r="C188" s="48">
        <v>22857.05</v>
      </c>
      <c r="D188" s="48">
        <v>514.92999999999995</v>
      </c>
      <c r="E188" s="48">
        <v>0</v>
      </c>
      <c r="F188" s="48">
        <v>0</v>
      </c>
      <c r="G188" s="48">
        <v>83.7</v>
      </c>
      <c r="H188" s="48">
        <v>1678.9</v>
      </c>
      <c r="I188" s="48">
        <v>761.6</v>
      </c>
      <c r="J188" s="48">
        <v>0</v>
      </c>
      <c r="K188" s="48">
        <v>111.01</v>
      </c>
      <c r="L188" s="48">
        <v>0</v>
      </c>
      <c r="M188" s="48"/>
      <c r="N188" s="48">
        <f t="shared" si="7"/>
        <v>26007.19</v>
      </c>
      <c r="O188" s="48"/>
      <c r="P188" s="48"/>
      <c r="Q188" s="48" t="str">
        <f t="shared" si="8"/>
        <v>33211</v>
      </c>
      <c r="R188" s="48">
        <f t="shared" si="9"/>
        <v>26007.19</v>
      </c>
    </row>
    <row r="189" spans="1:18">
      <c r="A189" t="s">
        <v>372</v>
      </c>
      <c r="B189" t="s">
        <v>1767</v>
      </c>
      <c r="C189" s="48">
        <v>2049318.72</v>
      </c>
      <c r="D189" s="48">
        <v>107499.63</v>
      </c>
      <c r="E189" s="48">
        <v>18179.18</v>
      </c>
      <c r="F189" s="48">
        <v>0</v>
      </c>
      <c r="G189" s="48">
        <v>102.82</v>
      </c>
      <c r="H189" s="48">
        <v>45494.33</v>
      </c>
      <c r="I189" s="48">
        <v>0</v>
      </c>
      <c r="J189" s="48">
        <v>76398.75</v>
      </c>
      <c r="K189" s="48">
        <v>11513.66</v>
      </c>
      <c r="L189" s="48">
        <v>0</v>
      </c>
      <c r="M189" s="48"/>
      <c r="N189" s="48">
        <f t="shared" si="7"/>
        <v>2308507.0900000003</v>
      </c>
      <c r="O189" s="48"/>
      <c r="P189" s="48"/>
      <c r="Q189" s="48" t="str">
        <f t="shared" si="8"/>
        <v>17417</v>
      </c>
      <c r="R189" s="48">
        <f t="shared" si="9"/>
        <v>2308507.0900000003</v>
      </c>
    </row>
    <row r="190" spans="1:18">
      <c r="A190" t="s">
        <v>322</v>
      </c>
      <c r="B190" t="s">
        <v>1741</v>
      </c>
      <c r="C190" s="48">
        <v>443213.65</v>
      </c>
      <c r="D190" s="48">
        <v>37560.68</v>
      </c>
      <c r="E190" s="48">
        <v>3201.29</v>
      </c>
      <c r="F190" s="48">
        <v>0</v>
      </c>
      <c r="G190" s="48">
        <v>98.82</v>
      </c>
      <c r="H190" s="48">
        <v>24945.48</v>
      </c>
      <c r="I190" s="48">
        <v>4176.8599999999997</v>
      </c>
      <c r="J190" s="48">
        <v>6943.02</v>
      </c>
      <c r="K190" s="48">
        <v>2645.29</v>
      </c>
      <c r="L190" s="48">
        <v>6713.37</v>
      </c>
      <c r="M190" s="48"/>
      <c r="N190" s="48">
        <f t="shared" si="7"/>
        <v>529498.46</v>
      </c>
      <c r="O190" s="48"/>
      <c r="P190" s="48"/>
      <c r="Q190" s="48" t="str">
        <f t="shared" si="8"/>
        <v>15201</v>
      </c>
      <c r="R190" s="48">
        <f t="shared" si="9"/>
        <v>529498.46</v>
      </c>
    </row>
    <row r="191" spans="1:18">
      <c r="A191" t="s">
        <v>709</v>
      </c>
      <c r="B191" t="s">
        <v>1941</v>
      </c>
      <c r="C191" s="48">
        <v>20277.810000000001</v>
      </c>
      <c r="D191" s="48">
        <v>832.52</v>
      </c>
      <c r="E191" s="48">
        <v>205.05</v>
      </c>
      <c r="F191" s="48">
        <v>0</v>
      </c>
      <c r="G191" s="48">
        <v>86.57</v>
      </c>
      <c r="H191" s="48">
        <v>592.01</v>
      </c>
      <c r="I191" s="48">
        <v>0</v>
      </c>
      <c r="J191" s="48">
        <v>0</v>
      </c>
      <c r="K191" s="48">
        <v>57.04</v>
      </c>
      <c r="L191" s="48">
        <v>1002.09</v>
      </c>
      <c r="M191" s="48"/>
      <c r="N191" s="48">
        <f t="shared" si="7"/>
        <v>23053.09</v>
      </c>
      <c r="O191" s="48"/>
      <c r="P191" s="48"/>
      <c r="Q191" s="48" t="str">
        <f t="shared" si="8"/>
        <v>38324</v>
      </c>
      <c r="R191" s="48">
        <f t="shared" si="9"/>
        <v>23053.09</v>
      </c>
    </row>
    <row r="192" spans="1:18">
      <c r="A192" t="s">
        <v>320</v>
      </c>
      <c r="B192" t="s">
        <v>1740</v>
      </c>
      <c r="C192" s="48">
        <v>30007.4</v>
      </c>
      <c r="D192" s="48">
        <v>2654.79</v>
      </c>
      <c r="E192" s="48">
        <v>155.71</v>
      </c>
      <c r="F192" s="48">
        <v>0</v>
      </c>
      <c r="G192" s="48">
        <v>90.41</v>
      </c>
      <c r="H192" s="48">
        <v>2375.7399999999998</v>
      </c>
      <c r="I192" s="48">
        <v>1455.36</v>
      </c>
      <c r="J192" s="48">
        <v>0</v>
      </c>
      <c r="K192" s="48">
        <v>137.21</v>
      </c>
      <c r="L192" s="48">
        <v>1977.98</v>
      </c>
      <c r="M192" s="48"/>
      <c r="N192" s="48">
        <f t="shared" si="7"/>
        <v>38854.600000000006</v>
      </c>
      <c r="O192" s="48"/>
      <c r="P192" s="48"/>
      <c r="Q192" s="48" t="str">
        <f t="shared" si="8"/>
        <v>14400</v>
      </c>
      <c r="R192" s="48">
        <f t="shared" si="9"/>
        <v>38854.600000000006</v>
      </c>
    </row>
    <row r="193" spans="1:18">
      <c r="A193" t="s">
        <v>488</v>
      </c>
      <c r="B193" t="s">
        <v>1826</v>
      </c>
      <c r="C193" s="48">
        <v>64149.61</v>
      </c>
      <c r="D193" s="48">
        <v>8355.94</v>
      </c>
      <c r="E193" s="48">
        <v>0</v>
      </c>
      <c r="F193" s="48">
        <v>0</v>
      </c>
      <c r="G193" s="48">
        <v>87.81</v>
      </c>
      <c r="H193" s="48">
        <v>5833.75</v>
      </c>
      <c r="I193" s="48">
        <v>4238.1000000000004</v>
      </c>
      <c r="J193" s="48">
        <v>1282.69</v>
      </c>
      <c r="K193" s="48">
        <v>385.43</v>
      </c>
      <c r="L193" s="48">
        <v>1725.15</v>
      </c>
      <c r="M193" s="48"/>
      <c r="N193" s="48">
        <f t="shared" si="7"/>
        <v>86058.48</v>
      </c>
      <c r="O193" s="48"/>
      <c r="P193" s="48"/>
      <c r="Q193" s="48" t="str">
        <f t="shared" si="8"/>
        <v>25101</v>
      </c>
      <c r="R193" s="48">
        <f t="shared" si="9"/>
        <v>86058.48</v>
      </c>
    </row>
    <row r="194" spans="1:18">
      <c r="A194" t="s">
        <v>318</v>
      </c>
      <c r="B194" t="s">
        <v>1739</v>
      </c>
      <c r="C194" s="48">
        <v>47314.39</v>
      </c>
      <c r="D194" s="48">
        <v>2272.44</v>
      </c>
      <c r="E194" s="48">
        <v>715.34</v>
      </c>
      <c r="F194" s="48">
        <v>0</v>
      </c>
      <c r="G194" s="48">
        <v>87.21</v>
      </c>
      <c r="H194" s="48">
        <v>4142.51</v>
      </c>
      <c r="I194" s="48">
        <v>2610.08</v>
      </c>
      <c r="J194" s="48">
        <v>1638.81</v>
      </c>
      <c r="K194" s="48">
        <v>240.51</v>
      </c>
      <c r="L194" s="48">
        <v>0</v>
      </c>
      <c r="M194" s="48"/>
      <c r="N194" s="48">
        <f t="shared" si="7"/>
        <v>59021.29</v>
      </c>
      <c r="O194" s="48"/>
      <c r="P194" s="48"/>
      <c r="Q194" s="48" t="str">
        <f t="shared" si="8"/>
        <v>14172</v>
      </c>
      <c r="R194" s="48">
        <f t="shared" si="9"/>
        <v>59021.29</v>
      </c>
    </row>
    <row r="195" spans="1:18">
      <c r="A195" t="s">
        <v>450</v>
      </c>
      <c r="B195" t="s">
        <v>1808</v>
      </c>
      <c r="C195" s="48">
        <v>26546.75</v>
      </c>
      <c r="D195" s="48">
        <v>654.16999999999996</v>
      </c>
      <c r="E195" s="48">
        <v>173.17</v>
      </c>
      <c r="F195" s="48">
        <v>0</v>
      </c>
      <c r="G195" s="48">
        <v>91.92</v>
      </c>
      <c r="H195" s="48">
        <v>1178.47</v>
      </c>
      <c r="I195" s="48">
        <v>1016.53</v>
      </c>
      <c r="J195" s="48">
        <v>0</v>
      </c>
      <c r="K195" s="48">
        <v>89.78</v>
      </c>
      <c r="L195" s="48">
        <v>979.65</v>
      </c>
      <c r="M195" s="48"/>
      <c r="N195" s="48">
        <f t="shared" si="7"/>
        <v>30730.439999999995</v>
      </c>
      <c r="O195" s="48"/>
      <c r="P195" s="48"/>
      <c r="Q195" s="48" t="str">
        <f t="shared" si="8"/>
        <v>22105</v>
      </c>
      <c r="R195" s="48">
        <f t="shared" si="9"/>
        <v>30730.439999999995</v>
      </c>
    </row>
    <row r="196" spans="1:18">
      <c r="A196" t="s">
        <v>476</v>
      </c>
      <c r="B196" t="s">
        <v>1820</v>
      </c>
      <c r="C196" s="48">
        <v>71295.33</v>
      </c>
      <c r="D196" s="48">
        <v>6411.88</v>
      </c>
      <c r="E196" s="48">
        <v>2577.6999999999998</v>
      </c>
      <c r="F196" s="48">
        <v>0</v>
      </c>
      <c r="G196" s="48">
        <v>86.24</v>
      </c>
      <c r="H196" s="48">
        <v>6413.42</v>
      </c>
      <c r="I196" s="48">
        <v>4839.3500000000004</v>
      </c>
      <c r="J196" s="48">
        <v>2272.44</v>
      </c>
      <c r="K196" s="48">
        <v>457.88</v>
      </c>
      <c r="L196" s="48">
        <v>1853.11</v>
      </c>
      <c r="M196" s="48"/>
      <c r="N196" s="48">
        <f t="shared" si="7"/>
        <v>96207.35000000002</v>
      </c>
      <c r="O196" s="48"/>
      <c r="P196" s="48"/>
      <c r="Q196" s="48" t="str">
        <f t="shared" si="8"/>
        <v>24105</v>
      </c>
      <c r="R196" s="48">
        <f t="shared" si="9"/>
        <v>96207.35000000002</v>
      </c>
    </row>
    <row r="197" spans="1:18">
      <c r="A197" t="s">
        <v>646</v>
      </c>
      <c r="B197" t="s">
        <v>1907</v>
      </c>
      <c r="C197" s="48">
        <v>706537.54</v>
      </c>
      <c r="D197" s="48">
        <v>50884.07</v>
      </c>
      <c r="E197" s="48">
        <v>10025.780000000001</v>
      </c>
      <c r="F197" s="48">
        <v>0</v>
      </c>
      <c r="G197" s="48">
        <v>90.02</v>
      </c>
      <c r="H197" s="48">
        <v>32257.9</v>
      </c>
      <c r="I197" s="48">
        <v>2897.26</v>
      </c>
      <c r="J197" s="48">
        <v>10062.65</v>
      </c>
      <c r="K197" s="48">
        <v>4316.2299999999996</v>
      </c>
      <c r="L197" s="48">
        <v>3838.44</v>
      </c>
      <c r="M197" s="48"/>
      <c r="N197" s="48">
        <f t="shared" ref="N197:N260" si="10">SUM(C197:M197)</f>
        <v>820909.89</v>
      </c>
      <c r="O197" s="48"/>
      <c r="P197" s="48"/>
      <c r="Q197" s="48" t="str">
        <f t="shared" si="8"/>
        <v>34111</v>
      </c>
      <c r="R197" s="48">
        <f t="shared" si="9"/>
        <v>820909.89</v>
      </c>
    </row>
    <row r="198" spans="1:18">
      <c r="A198" t="s">
        <v>474</v>
      </c>
      <c r="B198" t="s">
        <v>1819</v>
      </c>
      <c r="C198" s="48">
        <v>101097.69</v>
      </c>
      <c r="D198" s="48">
        <v>10850.4</v>
      </c>
      <c r="E198" s="48">
        <v>3598.3</v>
      </c>
      <c r="F198" s="48">
        <v>0</v>
      </c>
      <c r="G198" s="48">
        <v>80.52</v>
      </c>
      <c r="H198" s="48">
        <v>41590.1</v>
      </c>
      <c r="I198" s="48">
        <v>27016.53</v>
      </c>
      <c r="J198" s="48">
        <v>10062.6</v>
      </c>
      <c r="K198" s="48">
        <v>2713.37</v>
      </c>
      <c r="L198" s="48">
        <v>0</v>
      </c>
      <c r="M198" s="48"/>
      <c r="N198" s="48">
        <f t="shared" si="10"/>
        <v>197009.51</v>
      </c>
      <c r="O198" s="48"/>
      <c r="P198" s="48"/>
      <c r="Q198" s="48" t="str">
        <f t="shared" ref="Q198:Q261" si="11">TEXT(A198, "00000")</f>
        <v>24019</v>
      </c>
      <c r="R198" s="48">
        <f t="shared" ref="R198:R261" si="12">N198</f>
        <v>197009.51</v>
      </c>
    </row>
    <row r="199" spans="1:18">
      <c r="A199" t="s">
        <v>432</v>
      </c>
      <c r="B199" t="s">
        <v>1799</v>
      </c>
      <c r="C199" s="48">
        <v>57412.43</v>
      </c>
      <c r="D199" s="48">
        <v>9649.42</v>
      </c>
      <c r="E199" s="48">
        <v>1008.27</v>
      </c>
      <c r="F199" s="48">
        <v>0</v>
      </c>
      <c r="G199" s="48">
        <v>89.35</v>
      </c>
      <c r="H199" s="48">
        <v>4834.74</v>
      </c>
      <c r="I199" s="48">
        <v>3948.27</v>
      </c>
      <c r="J199" s="48">
        <v>0</v>
      </c>
      <c r="K199" s="48">
        <v>346.89</v>
      </c>
      <c r="L199" s="48">
        <v>1931.73</v>
      </c>
      <c r="M199" s="48"/>
      <c r="N199" s="48">
        <f t="shared" si="10"/>
        <v>79221.10000000002</v>
      </c>
      <c r="O199" s="48"/>
      <c r="P199" s="48"/>
      <c r="Q199" s="48" t="str">
        <f t="shared" si="11"/>
        <v>21300</v>
      </c>
      <c r="R199" s="48">
        <f t="shared" si="12"/>
        <v>79221.10000000002</v>
      </c>
    </row>
    <row r="200" spans="1:18">
      <c r="A200" t="s">
        <v>618</v>
      </c>
      <c r="B200" t="s">
        <v>1892</v>
      </c>
      <c r="C200" s="48">
        <v>5679.58</v>
      </c>
      <c r="D200" s="48">
        <v>0</v>
      </c>
      <c r="E200" s="48">
        <v>0</v>
      </c>
      <c r="F200" s="48">
        <v>0</v>
      </c>
      <c r="G200" s="48">
        <v>93.64</v>
      </c>
      <c r="H200" s="48">
        <v>288.29000000000002</v>
      </c>
      <c r="I200" s="48">
        <v>186.54</v>
      </c>
      <c r="J200" s="48">
        <v>0</v>
      </c>
      <c r="K200" s="48">
        <v>0</v>
      </c>
      <c r="L200" s="48">
        <v>0</v>
      </c>
      <c r="M200" s="48"/>
      <c r="N200" s="48">
        <f t="shared" si="10"/>
        <v>6248.05</v>
      </c>
      <c r="O200" s="48"/>
      <c r="P200" s="48"/>
      <c r="Q200" s="48" t="str">
        <f t="shared" si="11"/>
        <v>33030</v>
      </c>
      <c r="R200" s="48">
        <f t="shared" si="12"/>
        <v>6248.05</v>
      </c>
    </row>
    <row r="201" spans="1:18">
      <c r="A201" t="s">
        <v>537</v>
      </c>
      <c r="B201" t="s">
        <v>1851</v>
      </c>
      <c r="C201" s="48">
        <v>46798.47</v>
      </c>
      <c r="D201" s="48">
        <v>1030.8399999999999</v>
      </c>
      <c r="E201" s="48">
        <v>0</v>
      </c>
      <c r="F201" s="48">
        <v>0</v>
      </c>
      <c r="G201" s="48">
        <v>93.6</v>
      </c>
      <c r="H201" s="48">
        <v>2576.2199999999998</v>
      </c>
      <c r="I201" s="48">
        <v>0</v>
      </c>
      <c r="J201" s="48">
        <v>1440.06</v>
      </c>
      <c r="K201" s="48">
        <v>390.24</v>
      </c>
      <c r="L201" s="48">
        <v>0</v>
      </c>
      <c r="M201" s="48"/>
      <c r="N201" s="48">
        <f t="shared" si="10"/>
        <v>52329.429999999993</v>
      </c>
      <c r="O201" s="48"/>
      <c r="P201" s="48"/>
      <c r="Q201" s="48" t="str">
        <f t="shared" si="11"/>
        <v>28137</v>
      </c>
      <c r="R201" s="48">
        <f t="shared" si="12"/>
        <v>52329.429999999993</v>
      </c>
    </row>
    <row r="202" spans="1:18">
      <c r="A202" t="s">
        <v>594</v>
      </c>
      <c r="B202" t="s">
        <v>1879</v>
      </c>
      <c r="C202" s="48">
        <v>9933.09</v>
      </c>
      <c r="D202" s="48">
        <v>0</v>
      </c>
      <c r="E202" s="48">
        <v>0</v>
      </c>
      <c r="F202" s="48">
        <v>0</v>
      </c>
      <c r="G202" s="48">
        <v>98.17</v>
      </c>
      <c r="H202" s="48">
        <v>0</v>
      </c>
      <c r="I202" s="48">
        <v>0</v>
      </c>
      <c r="J202" s="48">
        <v>0</v>
      </c>
      <c r="K202" s="48">
        <v>0</v>
      </c>
      <c r="L202" s="48">
        <v>0</v>
      </c>
      <c r="M202" s="48"/>
      <c r="N202" s="48">
        <f t="shared" si="10"/>
        <v>10031.26</v>
      </c>
      <c r="O202" s="48"/>
      <c r="P202" s="48"/>
      <c r="Q202" s="48" t="str">
        <f t="shared" si="11"/>
        <v>32123</v>
      </c>
      <c r="R202" s="48">
        <f t="shared" si="12"/>
        <v>10031.26</v>
      </c>
    </row>
    <row r="203" spans="1:18">
      <c r="A203" t="s">
        <v>261</v>
      </c>
      <c r="B203" t="s">
        <v>2674</v>
      </c>
      <c r="C203" s="48">
        <v>5674.95</v>
      </c>
      <c r="D203" s="48">
        <v>0</v>
      </c>
      <c r="E203" s="48">
        <v>0</v>
      </c>
      <c r="F203" s="48">
        <v>0</v>
      </c>
      <c r="G203" s="48">
        <v>92.25</v>
      </c>
      <c r="H203" s="48">
        <v>305.25</v>
      </c>
      <c r="I203" s="48">
        <v>194.25</v>
      </c>
      <c r="J203" s="48">
        <v>0</v>
      </c>
      <c r="K203" s="48">
        <v>20.04</v>
      </c>
      <c r="L203" s="48">
        <v>0</v>
      </c>
      <c r="M203" s="48"/>
      <c r="N203" s="48">
        <f t="shared" si="10"/>
        <v>6286.74</v>
      </c>
      <c r="O203" s="48"/>
      <c r="P203" s="48"/>
      <c r="Q203" s="48" t="str">
        <f t="shared" si="11"/>
        <v>10065</v>
      </c>
      <c r="R203" s="48">
        <f t="shared" si="12"/>
        <v>6286.74</v>
      </c>
    </row>
    <row r="204" spans="1:18">
      <c r="A204" t="s">
        <v>245</v>
      </c>
      <c r="B204" t="s">
        <v>1702</v>
      </c>
      <c r="C204" s="48">
        <v>10995.32</v>
      </c>
      <c r="D204" s="48">
        <v>0</v>
      </c>
      <c r="E204" s="48">
        <v>390.04</v>
      </c>
      <c r="F204" s="48">
        <v>0</v>
      </c>
      <c r="G204" s="48">
        <v>93.87</v>
      </c>
      <c r="H204" s="48">
        <v>951.22</v>
      </c>
      <c r="I204" s="48">
        <v>488.71</v>
      </c>
      <c r="J204" s="48">
        <v>1444.56</v>
      </c>
      <c r="K204" s="48">
        <v>49.33</v>
      </c>
      <c r="L204" s="48">
        <v>0</v>
      </c>
      <c r="M204" s="48"/>
      <c r="N204" s="48">
        <f t="shared" si="10"/>
        <v>14413.05</v>
      </c>
      <c r="O204" s="48"/>
      <c r="P204" s="48"/>
      <c r="Q204" s="48" t="str">
        <f t="shared" si="11"/>
        <v>09013</v>
      </c>
      <c r="R204" s="48">
        <f t="shared" si="12"/>
        <v>14413.05</v>
      </c>
    </row>
    <row r="205" spans="1:18">
      <c r="A205" t="s">
        <v>486</v>
      </c>
      <c r="B205" t="s">
        <v>1825</v>
      </c>
      <c r="C205" s="48">
        <v>45393.45</v>
      </c>
      <c r="D205" s="48">
        <v>2337.1999999999998</v>
      </c>
      <c r="E205" s="48">
        <v>621.29</v>
      </c>
      <c r="F205" s="48">
        <v>0</v>
      </c>
      <c r="G205" s="48">
        <v>89.15</v>
      </c>
      <c r="H205" s="48">
        <v>3684.63</v>
      </c>
      <c r="I205" s="48">
        <v>2314.08</v>
      </c>
      <c r="J205" s="48">
        <v>1382.89</v>
      </c>
      <c r="K205" s="48">
        <v>0</v>
      </c>
      <c r="L205" s="48">
        <v>0</v>
      </c>
      <c r="M205" s="48"/>
      <c r="N205" s="48">
        <f t="shared" si="10"/>
        <v>55822.689999999995</v>
      </c>
      <c r="O205" s="48"/>
      <c r="P205" s="48"/>
      <c r="Q205" s="48" t="str">
        <f t="shared" si="11"/>
        <v>24410</v>
      </c>
      <c r="R205" s="48">
        <f t="shared" si="12"/>
        <v>55822.689999999995</v>
      </c>
    </row>
    <row r="206" spans="1:18">
      <c r="A206" t="s">
        <v>519</v>
      </c>
      <c r="B206" t="s">
        <v>1841</v>
      </c>
      <c r="C206" s="48">
        <v>219000.87</v>
      </c>
      <c r="D206" s="48">
        <v>24820.05</v>
      </c>
      <c r="E206" s="48">
        <v>12364.27</v>
      </c>
      <c r="F206" s="48">
        <v>0</v>
      </c>
      <c r="G206" s="48">
        <v>92.76</v>
      </c>
      <c r="H206" s="48">
        <v>10614.06</v>
      </c>
      <c r="I206" s="48">
        <v>0</v>
      </c>
      <c r="J206" s="48">
        <v>5842.22</v>
      </c>
      <c r="K206" s="48">
        <v>1305.72</v>
      </c>
      <c r="L206" s="48">
        <v>0</v>
      </c>
      <c r="M206" s="48"/>
      <c r="N206" s="48">
        <f t="shared" si="10"/>
        <v>274039.94999999995</v>
      </c>
      <c r="O206" s="48"/>
      <c r="P206" s="48"/>
      <c r="Q206" s="48" t="str">
        <f t="shared" si="11"/>
        <v>27344</v>
      </c>
      <c r="R206" s="48">
        <f t="shared" si="12"/>
        <v>274039.94999999995</v>
      </c>
    </row>
    <row r="207" spans="1:18">
      <c r="A207" t="s">
        <v>167</v>
      </c>
      <c r="B207" t="s">
        <v>1661</v>
      </c>
      <c r="C207" s="48">
        <v>342367.13</v>
      </c>
      <c r="D207" s="48">
        <v>26527.81</v>
      </c>
      <c r="E207" s="48">
        <v>1498.52</v>
      </c>
      <c r="F207" s="48">
        <v>0</v>
      </c>
      <c r="G207" s="48">
        <v>88.6</v>
      </c>
      <c r="H207" s="48">
        <v>35833.440000000002</v>
      </c>
      <c r="I207" s="48">
        <v>19946.349999999999</v>
      </c>
      <c r="J207" s="48">
        <v>46827.21</v>
      </c>
      <c r="K207" s="48">
        <v>1911.69</v>
      </c>
      <c r="L207" s="48">
        <v>9284.0400000000009</v>
      </c>
      <c r="M207" s="48"/>
      <c r="N207" s="48">
        <f t="shared" si="10"/>
        <v>484284.79</v>
      </c>
      <c r="O207" s="48"/>
      <c r="P207" s="48"/>
      <c r="Q207" s="48" t="str">
        <f t="shared" si="11"/>
        <v>01147</v>
      </c>
      <c r="R207" s="48">
        <f t="shared" si="12"/>
        <v>484284.79</v>
      </c>
    </row>
    <row r="208" spans="1:18">
      <c r="A208" t="s">
        <v>249</v>
      </c>
      <c r="B208" t="s">
        <v>1704</v>
      </c>
      <c r="C208" s="48">
        <v>4060.8</v>
      </c>
      <c r="D208" s="48">
        <v>0</v>
      </c>
      <c r="E208" s="48">
        <v>0</v>
      </c>
      <c r="F208" s="48">
        <v>0</v>
      </c>
      <c r="G208" s="48">
        <v>97.72</v>
      </c>
      <c r="H208" s="48">
        <v>280.58</v>
      </c>
      <c r="I208" s="48">
        <v>140.29</v>
      </c>
      <c r="J208" s="48">
        <v>129.5</v>
      </c>
      <c r="K208" s="48">
        <v>10.79</v>
      </c>
      <c r="L208" s="48">
        <v>231.25</v>
      </c>
      <c r="M208" s="48"/>
      <c r="N208" s="48">
        <f t="shared" si="10"/>
        <v>4950.93</v>
      </c>
      <c r="O208" s="48"/>
      <c r="P208" s="48"/>
      <c r="Q208" s="48" t="str">
        <f t="shared" si="11"/>
        <v>09102</v>
      </c>
      <c r="R208" s="48">
        <f t="shared" si="12"/>
        <v>4950.93</v>
      </c>
    </row>
    <row r="209" spans="1:18">
      <c r="A209" t="s">
        <v>695</v>
      </c>
      <c r="B209" t="s">
        <v>1934</v>
      </c>
      <c r="C209" s="48">
        <v>23120.68</v>
      </c>
      <c r="D209" s="48">
        <v>1045.26</v>
      </c>
      <c r="E209" s="48">
        <v>0</v>
      </c>
      <c r="F209" s="48">
        <v>0</v>
      </c>
      <c r="G209" s="48">
        <v>89.59</v>
      </c>
      <c r="H209" s="48">
        <v>724.59</v>
      </c>
      <c r="I209" s="48">
        <v>0</v>
      </c>
      <c r="J209" s="48">
        <v>0</v>
      </c>
      <c r="K209" s="48">
        <v>72.459999999999994</v>
      </c>
      <c r="L209" s="48">
        <v>1418.35</v>
      </c>
      <c r="M209" s="48"/>
      <c r="N209" s="48">
        <f t="shared" si="10"/>
        <v>26470.929999999997</v>
      </c>
      <c r="O209" s="48"/>
      <c r="P209" s="48"/>
      <c r="Q209" s="48" t="str">
        <f t="shared" si="11"/>
        <v>38301</v>
      </c>
      <c r="R209" s="48">
        <f t="shared" si="12"/>
        <v>26470.929999999997</v>
      </c>
    </row>
    <row r="210" spans="1:18">
      <c r="A210" t="s">
        <v>2305</v>
      </c>
      <c r="B210" t="s">
        <v>2395</v>
      </c>
      <c r="C210" s="48">
        <v>25405.46</v>
      </c>
      <c r="D210" s="48">
        <v>118.71</v>
      </c>
      <c r="E210" s="48">
        <v>194.25</v>
      </c>
      <c r="F210" s="48">
        <v>0</v>
      </c>
      <c r="G210" s="48">
        <v>78.41</v>
      </c>
      <c r="H210" s="48">
        <v>1452.26</v>
      </c>
      <c r="I210" s="48">
        <v>666.01</v>
      </c>
      <c r="J210" s="48">
        <v>0</v>
      </c>
      <c r="K210" s="48">
        <v>75.55</v>
      </c>
      <c r="L210" s="48">
        <v>0</v>
      </c>
      <c r="M210" s="48"/>
      <c r="N210" s="48">
        <f t="shared" si="10"/>
        <v>27990.649999999994</v>
      </c>
      <c r="O210" s="48"/>
      <c r="P210" s="48"/>
      <c r="Q210" s="48" t="str">
        <f t="shared" si="11"/>
        <v>24915</v>
      </c>
      <c r="R210" s="48">
        <f t="shared" si="12"/>
        <v>27990.649999999994</v>
      </c>
    </row>
    <row r="211" spans="1:18">
      <c r="A211" t="s">
        <v>267</v>
      </c>
      <c r="B211" t="s">
        <v>1713</v>
      </c>
      <c r="C211" s="48">
        <v>1404079.4</v>
      </c>
      <c r="D211" s="48">
        <v>109473.68</v>
      </c>
      <c r="E211" s="48">
        <v>24306.25</v>
      </c>
      <c r="F211" s="48">
        <v>0</v>
      </c>
      <c r="G211" s="48">
        <v>88.2</v>
      </c>
      <c r="H211" s="48">
        <v>132332.28</v>
      </c>
      <c r="I211" s="48">
        <v>77425.070000000007</v>
      </c>
      <c r="J211" s="48">
        <v>165694.39000000001</v>
      </c>
      <c r="K211" s="48">
        <v>8021.39</v>
      </c>
      <c r="L211" s="48">
        <v>9348.7900000000009</v>
      </c>
      <c r="M211" s="48"/>
      <c r="N211" s="48">
        <f t="shared" si="10"/>
        <v>1930769.45</v>
      </c>
      <c r="O211" s="48"/>
      <c r="P211" s="48"/>
      <c r="Q211" s="48" t="str">
        <f t="shared" si="11"/>
        <v>11001</v>
      </c>
      <c r="R211" s="48">
        <f t="shared" si="12"/>
        <v>1930769.45</v>
      </c>
    </row>
    <row r="212" spans="1:18">
      <c r="A212" t="s">
        <v>480</v>
      </c>
      <c r="B212" t="s">
        <v>1822</v>
      </c>
      <c r="C212" s="48">
        <v>24973.79</v>
      </c>
      <c r="D212" s="48">
        <v>2048.9</v>
      </c>
      <c r="E212" s="48">
        <v>282.13</v>
      </c>
      <c r="F212" s="48">
        <v>0</v>
      </c>
      <c r="G212" s="48">
        <v>88.04</v>
      </c>
      <c r="H212" s="48">
        <v>1646.52</v>
      </c>
      <c r="I212" s="48">
        <v>1031.3900000000001</v>
      </c>
      <c r="J212" s="48">
        <v>1091.52</v>
      </c>
      <c r="K212" s="48">
        <v>98.67</v>
      </c>
      <c r="L212" s="48">
        <v>1264.18</v>
      </c>
      <c r="M212" s="48"/>
      <c r="N212" s="48">
        <f t="shared" si="10"/>
        <v>32525.140000000003</v>
      </c>
      <c r="O212" s="48"/>
      <c r="P212" s="48"/>
      <c r="Q212" s="48" t="str">
        <f t="shared" si="11"/>
        <v>24122</v>
      </c>
      <c r="R212" s="48">
        <f t="shared" si="12"/>
        <v>32525.140000000003</v>
      </c>
    </row>
    <row r="213" spans="1:18">
      <c r="A213" t="s">
        <v>179</v>
      </c>
      <c r="B213" t="s">
        <v>1667</v>
      </c>
      <c r="C213" s="48">
        <v>12765.17</v>
      </c>
      <c r="D213" s="48">
        <v>0</v>
      </c>
      <c r="E213" s="48">
        <v>1122.3499999999999</v>
      </c>
      <c r="F213" s="48">
        <v>0</v>
      </c>
      <c r="G213" s="48">
        <v>92.47</v>
      </c>
      <c r="H213" s="48">
        <v>1339.72</v>
      </c>
      <c r="I213" s="48">
        <v>615.13</v>
      </c>
      <c r="J213" s="48">
        <v>490.26</v>
      </c>
      <c r="K213" s="48">
        <v>61.66</v>
      </c>
      <c r="L213" s="48">
        <v>0</v>
      </c>
      <c r="M213" s="48"/>
      <c r="N213" s="48">
        <f t="shared" si="10"/>
        <v>16486.759999999998</v>
      </c>
      <c r="O213" s="48"/>
      <c r="P213" s="48"/>
      <c r="Q213" s="48" t="str">
        <f t="shared" si="11"/>
        <v>03050</v>
      </c>
      <c r="R213" s="48">
        <f t="shared" si="12"/>
        <v>16486.759999999998</v>
      </c>
    </row>
    <row r="214" spans="1:18">
      <c r="A214" t="s">
        <v>434</v>
      </c>
      <c r="B214" t="s">
        <v>1800</v>
      </c>
      <c r="C214" s="48">
        <v>31226.93</v>
      </c>
      <c r="D214" s="48">
        <v>1269.8599999999999</v>
      </c>
      <c r="E214" s="48">
        <v>0</v>
      </c>
      <c r="F214" s="48">
        <v>0</v>
      </c>
      <c r="G214" s="48">
        <v>93.25</v>
      </c>
      <c r="H214" s="48">
        <v>1697.95</v>
      </c>
      <c r="I214" s="48">
        <v>1317.96</v>
      </c>
      <c r="J214" s="48">
        <v>0</v>
      </c>
      <c r="K214" s="48">
        <v>120.25</v>
      </c>
      <c r="L214" s="48">
        <v>2106.81</v>
      </c>
      <c r="M214" s="48"/>
      <c r="N214" s="48">
        <f t="shared" si="10"/>
        <v>37833.009999999995</v>
      </c>
      <c r="O214" s="48"/>
      <c r="P214" s="48"/>
      <c r="Q214" s="48" t="str">
        <f t="shared" si="11"/>
        <v>21301</v>
      </c>
      <c r="R214" s="48">
        <f t="shared" si="12"/>
        <v>37833.009999999995</v>
      </c>
    </row>
    <row r="215" spans="1:18">
      <c r="A215" t="s">
        <v>523</v>
      </c>
      <c r="B215" t="s">
        <v>1843</v>
      </c>
      <c r="C215" s="48">
        <v>753427.28</v>
      </c>
      <c r="D215" s="48">
        <v>52517.27</v>
      </c>
      <c r="E215" s="48">
        <v>10740.01</v>
      </c>
      <c r="F215" s="48">
        <v>0</v>
      </c>
      <c r="G215" s="48">
        <v>98.65</v>
      </c>
      <c r="H215" s="48">
        <v>21191.66</v>
      </c>
      <c r="I215" s="48">
        <v>1619.64</v>
      </c>
      <c r="J215" s="48">
        <v>6899.85</v>
      </c>
      <c r="K215" s="48">
        <v>4302.92</v>
      </c>
      <c r="L215" s="48">
        <v>13552.79</v>
      </c>
      <c r="M215" s="48"/>
      <c r="N215" s="48">
        <f t="shared" si="10"/>
        <v>864350.07000000018</v>
      </c>
      <c r="O215" s="48"/>
      <c r="P215" s="48"/>
      <c r="Q215" s="48" t="str">
        <f t="shared" si="11"/>
        <v>27401</v>
      </c>
      <c r="R215" s="48">
        <f t="shared" si="12"/>
        <v>864350.07000000018</v>
      </c>
    </row>
    <row r="216" spans="1:18">
      <c r="A216" t="s">
        <v>1655</v>
      </c>
      <c r="B216" t="s">
        <v>1958</v>
      </c>
      <c r="C216" s="48">
        <v>24250.74</v>
      </c>
      <c r="D216" s="48">
        <v>0</v>
      </c>
      <c r="E216" s="48">
        <v>311.43</v>
      </c>
      <c r="F216" s="48">
        <v>0</v>
      </c>
      <c r="G216" s="48">
        <v>77.08</v>
      </c>
      <c r="H216" s="48">
        <v>1197.8900000000001</v>
      </c>
      <c r="I216" s="48">
        <v>0</v>
      </c>
      <c r="J216" s="48">
        <v>1079.18</v>
      </c>
      <c r="K216" s="48">
        <v>92.5</v>
      </c>
      <c r="L216" s="48">
        <v>0</v>
      </c>
      <c r="M216" s="48"/>
      <c r="N216" s="48">
        <f t="shared" si="10"/>
        <v>27008.820000000003</v>
      </c>
      <c r="O216" s="48"/>
      <c r="P216" s="48"/>
      <c r="Q216" s="48" t="str">
        <f t="shared" si="11"/>
        <v>04901</v>
      </c>
      <c r="R216" s="48">
        <f t="shared" si="12"/>
        <v>27008.820000000003</v>
      </c>
    </row>
    <row r="217" spans="1:18">
      <c r="A217" t="s">
        <v>466</v>
      </c>
      <c r="B217" t="s">
        <v>1816</v>
      </c>
      <c r="C217" s="48">
        <v>72239.31</v>
      </c>
      <c r="D217" s="48">
        <v>0</v>
      </c>
      <c r="E217" s="48">
        <v>0</v>
      </c>
      <c r="F217" s="48">
        <v>0</v>
      </c>
      <c r="G217" s="48">
        <v>97.25</v>
      </c>
      <c r="H217" s="48">
        <v>4596.9799999999996</v>
      </c>
      <c r="I217" s="48">
        <v>3454.67</v>
      </c>
      <c r="J217" s="48">
        <v>1442.99</v>
      </c>
      <c r="K217" s="48">
        <v>349.71</v>
      </c>
      <c r="L217" s="48">
        <v>0</v>
      </c>
      <c r="M217" s="48"/>
      <c r="N217" s="48">
        <f t="shared" si="10"/>
        <v>82180.91</v>
      </c>
      <c r="O217" s="48"/>
      <c r="P217" s="48"/>
      <c r="Q217" s="48" t="str">
        <f t="shared" si="11"/>
        <v>23402</v>
      </c>
      <c r="R217" s="48">
        <f t="shared" si="12"/>
        <v>82180.91</v>
      </c>
    </row>
    <row r="218" spans="1:18">
      <c r="A218" t="s">
        <v>275</v>
      </c>
      <c r="B218" t="s">
        <v>1717</v>
      </c>
      <c r="C218" s="48">
        <v>33596.44</v>
      </c>
      <c r="D218" s="48">
        <v>3120.38</v>
      </c>
      <c r="E218" s="48">
        <v>1187.0999999999999</v>
      </c>
      <c r="F218" s="48">
        <v>0</v>
      </c>
      <c r="G218" s="48">
        <v>90.62</v>
      </c>
      <c r="H218" s="48">
        <v>1702.03</v>
      </c>
      <c r="I218" s="48">
        <v>621.29</v>
      </c>
      <c r="J218" s="48">
        <v>0</v>
      </c>
      <c r="K218" s="48">
        <v>148</v>
      </c>
      <c r="L218" s="48">
        <v>2793.53</v>
      </c>
      <c r="M218" s="48"/>
      <c r="N218" s="48">
        <f t="shared" si="10"/>
        <v>43259.39</v>
      </c>
      <c r="O218" s="48"/>
      <c r="P218" s="48"/>
      <c r="Q218" s="48" t="str">
        <f t="shared" si="11"/>
        <v>12110</v>
      </c>
      <c r="R218" s="48">
        <f t="shared" si="12"/>
        <v>43259.39</v>
      </c>
    </row>
    <row r="219" spans="1:18">
      <c r="A219" t="s">
        <v>203</v>
      </c>
      <c r="B219" t="s">
        <v>1679</v>
      </c>
      <c r="C219" s="48">
        <v>236764.19</v>
      </c>
      <c r="D219" s="48">
        <v>21727.06</v>
      </c>
      <c r="E219" s="48">
        <v>6727.68</v>
      </c>
      <c r="F219" s="48">
        <v>0</v>
      </c>
      <c r="G219" s="48">
        <v>90.43</v>
      </c>
      <c r="H219" s="48">
        <v>18441.79</v>
      </c>
      <c r="I219" s="48">
        <v>16073.63</v>
      </c>
      <c r="J219" s="48">
        <v>1585.71</v>
      </c>
      <c r="K219" s="48">
        <v>1529.6</v>
      </c>
      <c r="L219" s="48">
        <v>3705.36</v>
      </c>
      <c r="M219" s="48"/>
      <c r="N219" s="48">
        <f t="shared" si="10"/>
        <v>306645.44999999995</v>
      </c>
      <c r="O219" s="48"/>
      <c r="P219" s="48"/>
      <c r="Q219" s="48" t="str">
        <f t="shared" si="11"/>
        <v>05121</v>
      </c>
      <c r="R219" s="48">
        <f t="shared" si="12"/>
        <v>306645.44999999995</v>
      </c>
    </row>
    <row r="220" spans="1:18">
      <c r="A220" t="s">
        <v>336</v>
      </c>
      <c r="B220" t="s">
        <v>1748</v>
      </c>
      <c r="C220" s="48">
        <v>96420.08</v>
      </c>
      <c r="D220" s="48">
        <v>5404.54</v>
      </c>
      <c r="E220" s="48">
        <v>1308.83</v>
      </c>
      <c r="F220" s="48">
        <v>0</v>
      </c>
      <c r="G220" s="48">
        <v>98.01</v>
      </c>
      <c r="H220" s="48">
        <v>7136.41</v>
      </c>
      <c r="I220" s="48">
        <v>3360.13</v>
      </c>
      <c r="J220" s="48">
        <v>1080.9000000000001</v>
      </c>
      <c r="K220" s="48">
        <v>604.34</v>
      </c>
      <c r="L220" s="48">
        <v>3967.93</v>
      </c>
      <c r="M220" s="48"/>
      <c r="N220" s="48">
        <f t="shared" si="10"/>
        <v>119381.16999999998</v>
      </c>
      <c r="O220" s="48"/>
      <c r="P220" s="48"/>
      <c r="Q220" s="48" t="str">
        <f t="shared" si="11"/>
        <v>16050</v>
      </c>
      <c r="R220" s="48">
        <f t="shared" si="12"/>
        <v>119381.16999999998</v>
      </c>
    </row>
    <row r="221" spans="1:18">
      <c r="A221" t="s">
        <v>669</v>
      </c>
      <c r="B221" t="s">
        <v>1920</v>
      </c>
      <c r="C221" s="48">
        <v>26871.61</v>
      </c>
      <c r="D221" s="48">
        <v>1782.19</v>
      </c>
      <c r="E221" s="48">
        <v>0</v>
      </c>
      <c r="F221" s="48">
        <v>0</v>
      </c>
      <c r="G221" s="48">
        <v>89.27</v>
      </c>
      <c r="H221" s="48">
        <v>2223.12</v>
      </c>
      <c r="I221" s="48">
        <v>1225.6400000000001</v>
      </c>
      <c r="J221" s="48">
        <v>2209.23</v>
      </c>
      <c r="K221" s="48">
        <v>0</v>
      </c>
      <c r="L221" s="48">
        <v>1566.35</v>
      </c>
      <c r="M221" s="48"/>
      <c r="N221" s="48">
        <f t="shared" si="10"/>
        <v>35967.409999999996</v>
      </c>
      <c r="O221" s="48"/>
      <c r="P221" s="48"/>
      <c r="Q221" s="48" t="str">
        <f t="shared" si="11"/>
        <v>36402</v>
      </c>
      <c r="R221" s="48">
        <f t="shared" si="12"/>
        <v>35967.409999999996</v>
      </c>
    </row>
    <row r="222" spans="1:18">
      <c r="A222" t="s">
        <v>1378</v>
      </c>
      <c r="B222" t="s">
        <v>2675</v>
      </c>
      <c r="C222" s="48">
        <v>14459.49</v>
      </c>
      <c r="D222" s="48">
        <v>1950.23</v>
      </c>
      <c r="E222" s="48">
        <v>0</v>
      </c>
      <c r="F222" s="48">
        <v>0</v>
      </c>
      <c r="G222" s="48">
        <v>78.44</v>
      </c>
      <c r="H222" s="48">
        <v>858.72</v>
      </c>
      <c r="I222" s="48">
        <v>1040.6400000000001</v>
      </c>
      <c r="J222" s="48">
        <v>0</v>
      </c>
      <c r="K222" s="48">
        <v>75.55</v>
      </c>
      <c r="L222" s="48">
        <v>0</v>
      </c>
      <c r="M222" s="48"/>
      <c r="N222" s="48">
        <f t="shared" si="10"/>
        <v>18463.07</v>
      </c>
      <c r="O222" s="48"/>
      <c r="P222" s="48"/>
      <c r="Q222" s="48" t="str">
        <f t="shared" si="11"/>
        <v>32907</v>
      </c>
      <c r="R222" s="48">
        <f t="shared" si="12"/>
        <v>18463.07</v>
      </c>
    </row>
    <row r="223" spans="1:18">
      <c r="A223" t="s">
        <v>185</v>
      </c>
      <c r="B223" t="s">
        <v>1670</v>
      </c>
      <c r="C223" s="48">
        <v>180716.58</v>
      </c>
      <c r="D223" s="48">
        <v>15682.04</v>
      </c>
      <c r="E223" s="48">
        <v>1526.28</v>
      </c>
      <c r="F223" s="48">
        <v>0</v>
      </c>
      <c r="G223" s="48">
        <v>88.03</v>
      </c>
      <c r="H223" s="48">
        <v>17502.77</v>
      </c>
      <c r="I223" s="48">
        <v>11155.65</v>
      </c>
      <c r="J223" s="48">
        <v>17100.39</v>
      </c>
      <c r="K223" s="48">
        <v>1054.51</v>
      </c>
      <c r="L223" s="48">
        <v>6026.45</v>
      </c>
      <c r="M223" s="48"/>
      <c r="N223" s="48">
        <f t="shared" si="10"/>
        <v>250852.7</v>
      </c>
      <c r="O223" s="48"/>
      <c r="P223" s="48"/>
      <c r="Q223" s="48" t="str">
        <f t="shared" si="11"/>
        <v>03116</v>
      </c>
      <c r="R223" s="48">
        <f t="shared" si="12"/>
        <v>250852.7</v>
      </c>
    </row>
    <row r="224" spans="1:18">
      <c r="A224" t="s">
        <v>691</v>
      </c>
      <c r="B224" t="s">
        <v>1932</v>
      </c>
      <c r="C224" s="48">
        <v>217544.42</v>
      </c>
      <c r="D224" s="48">
        <v>12424.46</v>
      </c>
      <c r="E224" s="48">
        <v>3775.6</v>
      </c>
      <c r="F224" s="48">
        <v>0</v>
      </c>
      <c r="G224" s="48">
        <v>88.31</v>
      </c>
      <c r="H224" s="48">
        <v>9573.8700000000008</v>
      </c>
      <c r="I224" s="48">
        <v>1544.77</v>
      </c>
      <c r="J224" s="48">
        <v>4191.8500000000004</v>
      </c>
      <c r="K224" s="48">
        <v>1191.72</v>
      </c>
      <c r="L224" s="48">
        <v>0</v>
      </c>
      <c r="M224" s="48"/>
      <c r="N224" s="48">
        <f t="shared" si="10"/>
        <v>250335</v>
      </c>
      <c r="O224" s="48"/>
      <c r="P224" s="48"/>
      <c r="Q224" s="48" t="str">
        <f t="shared" si="11"/>
        <v>38267</v>
      </c>
      <c r="R224" s="48">
        <f t="shared" si="12"/>
        <v>250335</v>
      </c>
    </row>
    <row r="225" spans="1:18">
      <c r="A225" t="s">
        <v>507</v>
      </c>
      <c r="B225" t="s">
        <v>1836</v>
      </c>
      <c r="C225" s="48">
        <v>1959637.53</v>
      </c>
      <c r="D225" s="48">
        <v>120740.51</v>
      </c>
      <c r="E225" s="48">
        <v>38743.46</v>
      </c>
      <c r="F225" s="48">
        <v>0</v>
      </c>
      <c r="G225" s="48">
        <v>97.18</v>
      </c>
      <c r="H225" s="48">
        <v>111383.58</v>
      </c>
      <c r="I225" s="48">
        <v>18895.169999999998</v>
      </c>
      <c r="J225" s="48">
        <v>65089.3</v>
      </c>
      <c r="K225" s="48">
        <v>11413.42</v>
      </c>
      <c r="L225" s="48">
        <v>26067.84</v>
      </c>
      <c r="M225" s="48"/>
      <c r="N225" s="48">
        <f t="shared" si="10"/>
        <v>2352067.9899999998</v>
      </c>
      <c r="O225" s="48"/>
      <c r="P225" s="48"/>
      <c r="Q225" s="48" t="str">
        <f t="shared" si="11"/>
        <v>27003</v>
      </c>
      <c r="R225" s="48">
        <f t="shared" si="12"/>
        <v>2352067.9899999998</v>
      </c>
    </row>
    <row r="226" spans="1:18">
      <c r="A226" t="s">
        <v>328</v>
      </c>
      <c r="B226" t="s">
        <v>1744</v>
      </c>
      <c r="C226" s="48">
        <v>5751.23</v>
      </c>
      <c r="D226" s="48">
        <v>0</v>
      </c>
      <c r="E226" s="48">
        <v>0</v>
      </c>
      <c r="F226" s="48">
        <v>0</v>
      </c>
      <c r="G226" s="48">
        <v>95.64</v>
      </c>
      <c r="H226" s="48">
        <v>299.83</v>
      </c>
      <c r="I226" s="48">
        <v>174.77</v>
      </c>
      <c r="J226" s="48">
        <v>0</v>
      </c>
      <c r="K226" s="48">
        <v>0</v>
      </c>
      <c r="L226" s="48">
        <v>0</v>
      </c>
      <c r="M226" s="48"/>
      <c r="N226" s="48">
        <f t="shared" si="10"/>
        <v>6321.47</v>
      </c>
      <c r="O226" s="48"/>
      <c r="P226" s="48"/>
      <c r="Q226" s="48" t="str">
        <f t="shared" si="11"/>
        <v>16020</v>
      </c>
      <c r="R226" s="48">
        <f t="shared" si="12"/>
        <v>6321.47</v>
      </c>
    </row>
    <row r="227" spans="1:18">
      <c r="A227" t="s">
        <v>332</v>
      </c>
      <c r="B227" t="s">
        <v>1746</v>
      </c>
      <c r="C227" s="48">
        <v>24478.51</v>
      </c>
      <c r="D227" s="48">
        <v>730.49</v>
      </c>
      <c r="E227" s="48">
        <v>516.4</v>
      </c>
      <c r="F227" s="48">
        <v>0</v>
      </c>
      <c r="G227" s="48">
        <v>85.47</v>
      </c>
      <c r="H227" s="48">
        <v>3276.55</v>
      </c>
      <c r="I227" s="48">
        <v>954.37</v>
      </c>
      <c r="J227" s="48">
        <v>0</v>
      </c>
      <c r="K227" s="48">
        <v>308.86</v>
      </c>
      <c r="L227" s="48">
        <v>0</v>
      </c>
      <c r="M227" s="48"/>
      <c r="N227" s="48">
        <f t="shared" si="10"/>
        <v>30350.65</v>
      </c>
      <c r="O227" s="48"/>
      <c r="P227" s="48"/>
      <c r="Q227" s="48" t="str">
        <f t="shared" si="11"/>
        <v>16048</v>
      </c>
      <c r="R227" s="48">
        <f t="shared" si="12"/>
        <v>30350.65</v>
      </c>
    </row>
    <row r="228" spans="1:18">
      <c r="A228" t="s">
        <v>1481</v>
      </c>
      <c r="B228" t="s">
        <v>1684</v>
      </c>
      <c r="C228" s="48">
        <v>21252.16</v>
      </c>
      <c r="D228" s="48">
        <v>246.67</v>
      </c>
      <c r="E228" s="48">
        <v>223.55</v>
      </c>
      <c r="F228" s="48">
        <v>0</v>
      </c>
      <c r="G228" s="48">
        <v>89.53</v>
      </c>
      <c r="H228" s="48">
        <v>1015.97</v>
      </c>
      <c r="I228" s="48">
        <v>496.42</v>
      </c>
      <c r="J228" s="48">
        <v>0</v>
      </c>
      <c r="K228" s="48">
        <v>0</v>
      </c>
      <c r="L228" s="48">
        <v>0</v>
      </c>
      <c r="M228" s="48"/>
      <c r="N228" s="48">
        <f t="shared" si="10"/>
        <v>23324.299999999996</v>
      </c>
      <c r="O228" s="48"/>
      <c r="P228" s="48"/>
      <c r="Q228" s="48" t="str">
        <f t="shared" si="11"/>
        <v>05903</v>
      </c>
      <c r="R228" s="48">
        <f t="shared" si="12"/>
        <v>23324.299999999996</v>
      </c>
    </row>
    <row r="229" spans="1:18">
      <c r="A229" t="s">
        <v>211</v>
      </c>
      <c r="B229" t="s">
        <v>1683</v>
      </c>
      <c r="C229" s="48">
        <v>66607.05</v>
      </c>
      <c r="D229" s="48">
        <v>2317.16</v>
      </c>
      <c r="E229" s="48">
        <v>1048.3499999999999</v>
      </c>
      <c r="F229" s="48">
        <v>0</v>
      </c>
      <c r="G229" s="48">
        <v>80.819999999999993</v>
      </c>
      <c r="H229" s="48">
        <v>27526.83</v>
      </c>
      <c r="I229" s="48">
        <v>18073.2</v>
      </c>
      <c r="J229" s="48">
        <v>9751.17</v>
      </c>
      <c r="K229" s="48">
        <v>1706.65</v>
      </c>
      <c r="L229" s="48">
        <v>1839.24</v>
      </c>
      <c r="M229" s="48"/>
      <c r="N229" s="48">
        <f t="shared" si="10"/>
        <v>128950.47000000002</v>
      </c>
      <c r="O229" s="48"/>
      <c r="P229" s="48"/>
      <c r="Q229" s="48" t="str">
        <f t="shared" si="11"/>
        <v>05402</v>
      </c>
      <c r="R229" s="48">
        <f t="shared" si="12"/>
        <v>128950.47000000002</v>
      </c>
    </row>
    <row r="230" spans="1:18">
      <c r="A230" t="s">
        <v>311</v>
      </c>
      <c r="B230" t="s">
        <v>1735</v>
      </c>
      <c r="C230" s="48">
        <v>24198.32</v>
      </c>
      <c r="D230" s="48">
        <v>772.39</v>
      </c>
      <c r="E230" s="48">
        <v>0</v>
      </c>
      <c r="F230" s="48">
        <v>0</v>
      </c>
      <c r="G230" s="48">
        <v>86.21</v>
      </c>
      <c r="H230" s="48">
        <v>2013.44</v>
      </c>
      <c r="I230" s="48">
        <v>951.22</v>
      </c>
      <c r="J230" s="48">
        <v>1012.89</v>
      </c>
      <c r="K230" s="48">
        <v>89.42</v>
      </c>
      <c r="L230" s="48">
        <v>0</v>
      </c>
      <c r="M230" s="48"/>
      <c r="N230" s="48">
        <f t="shared" si="10"/>
        <v>29123.889999999996</v>
      </c>
      <c r="O230" s="48"/>
      <c r="P230" s="48"/>
      <c r="Q230" s="48" t="str">
        <f t="shared" si="11"/>
        <v>14097</v>
      </c>
      <c r="R230" s="48">
        <f t="shared" si="12"/>
        <v>29123.889999999996</v>
      </c>
    </row>
    <row r="231" spans="1:18">
      <c r="A231" t="s">
        <v>279</v>
      </c>
      <c r="B231" t="s">
        <v>1719</v>
      </c>
      <c r="C231" s="48">
        <v>233698.21</v>
      </c>
      <c r="D231" s="48">
        <v>26352.06</v>
      </c>
      <c r="E231" s="48">
        <v>5443.7</v>
      </c>
      <c r="F231" s="48">
        <v>0</v>
      </c>
      <c r="G231" s="48">
        <v>88.22</v>
      </c>
      <c r="H231" s="48">
        <v>25780.1</v>
      </c>
      <c r="I231" s="48">
        <v>14621.37</v>
      </c>
      <c r="J231" s="48">
        <v>33249.57</v>
      </c>
      <c r="K231" s="48">
        <v>1426.06</v>
      </c>
      <c r="L231" s="48">
        <v>4954.99</v>
      </c>
      <c r="M231" s="48"/>
      <c r="N231" s="48">
        <f t="shared" si="10"/>
        <v>345614.27999999991</v>
      </c>
      <c r="O231" s="48"/>
      <c r="P231" s="48"/>
      <c r="Q231" s="48" t="str">
        <f t="shared" si="11"/>
        <v>13144</v>
      </c>
      <c r="R231" s="48">
        <f t="shared" si="12"/>
        <v>345614.27999999991</v>
      </c>
    </row>
    <row r="232" spans="1:18">
      <c r="A232" t="s">
        <v>648</v>
      </c>
      <c r="B232" t="s">
        <v>1908</v>
      </c>
      <c r="C232" s="48">
        <v>76665.02</v>
      </c>
      <c r="D232" s="48">
        <v>7608.23</v>
      </c>
      <c r="E232" s="48">
        <v>1008.27</v>
      </c>
      <c r="F232" s="48">
        <v>0</v>
      </c>
      <c r="G232" s="48">
        <v>88.45</v>
      </c>
      <c r="H232" s="48">
        <v>4307.47</v>
      </c>
      <c r="I232" s="48">
        <v>0</v>
      </c>
      <c r="J232" s="48">
        <v>340.71</v>
      </c>
      <c r="K232" s="48">
        <v>434.75</v>
      </c>
      <c r="L232" s="48">
        <v>0</v>
      </c>
      <c r="M232" s="48"/>
      <c r="N232" s="48">
        <f t="shared" si="10"/>
        <v>90452.900000000009</v>
      </c>
      <c r="O232" s="48"/>
      <c r="P232" s="48"/>
      <c r="Q232" s="48" t="str">
        <f t="shared" si="11"/>
        <v>34307</v>
      </c>
      <c r="R232" s="48">
        <f t="shared" si="12"/>
        <v>90452.900000000009</v>
      </c>
    </row>
    <row r="233" spans="1:18">
      <c r="A233" t="s">
        <v>1388</v>
      </c>
      <c r="B233" t="s">
        <v>1960</v>
      </c>
      <c r="C233" s="48">
        <v>31784.9</v>
      </c>
      <c r="D233" s="48">
        <v>0</v>
      </c>
      <c r="E233" s="48">
        <v>0</v>
      </c>
      <c r="F233" s="48">
        <v>0</v>
      </c>
      <c r="G233" s="48">
        <v>90.02</v>
      </c>
      <c r="H233" s="48">
        <v>3178.13</v>
      </c>
      <c r="I233" s="48">
        <v>1913.79</v>
      </c>
      <c r="J233" s="48">
        <v>4122.28</v>
      </c>
      <c r="K233" s="48">
        <v>0</v>
      </c>
      <c r="L233" s="48">
        <v>0</v>
      </c>
      <c r="M233" s="48"/>
      <c r="N233" s="48">
        <f t="shared" si="10"/>
        <v>41089.120000000003</v>
      </c>
      <c r="O233" s="48"/>
      <c r="P233" s="48"/>
      <c r="Q233" s="48" t="str">
        <f t="shared" si="11"/>
        <v>17908</v>
      </c>
      <c r="R233" s="48">
        <f t="shared" si="12"/>
        <v>41089.120000000003</v>
      </c>
    </row>
    <row r="234" spans="1:18">
      <c r="A234" t="s">
        <v>1477</v>
      </c>
      <c r="B234" t="s">
        <v>1961</v>
      </c>
      <c r="C234" s="48">
        <v>23576.720000000001</v>
      </c>
      <c r="D234" s="48">
        <v>494.82</v>
      </c>
      <c r="E234" s="48">
        <v>0</v>
      </c>
      <c r="F234" s="48">
        <v>0</v>
      </c>
      <c r="G234" s="48">
        <v>100.64</v>
      </c>
      <c r="H234" s="48">
        <v>1013.29</v>
      </c>
      <c r="I234" s="48">
        <v>654.91</v>
      </c>
      <c r="J234" s="48">
        <v>0</v>
      </c>
      <c r="K234" s="48">
        <v>60.04</v>
      </c>
      <c r="L234" s="48">
        <v>0</v>
      </c>
      <c r="M234" s="48"/>
      <c r="N234" s="48">
        <f t="shared" si="10"/>
        <v>25900.420000000002</v>
      </c>
      <c r="O234" s="48"/>
      <c r="P234" s="48"/>
      <c r="Q234" s="48" t="str">
        <f t="shared" si="11"/>
        <v>17910</v>
      </c>
      <c r="R234" s="48">
        <f t="shared" si="12"/>
        <v>25900.420000000002</v>
      </c>
    </row>
    <row r="235" spans="1:18">
      <c r="A235" t="s">
        <v>490</v>
      </c>
      <c r="B235" t="s">
        <v>1827</v>
      </c>
      <c r="C235" s="48">
        <v>36564.19</v>
      </c>
      <c r="D235" s="48">
        <v>3054.08</v>
      </c>
      <c r="E235" s="48">
        <v>243.59</v>
      </c>
      <c r="F235" s="48">
        <v>0</v>
      </c>
      <c r="G235" s="48">
        <v>86.42</v>
      </c>
      <c r="H235" s="48">
        <v>3205.16</v>
      </c>
      <c r="I235" s="48">
        <v>2178.4</v>
      </c>
      <c r="J235" s="48">
        <v>1341.27</v>
      </c>
      <c r="K235" s="48">
        <v>195.79</v>
      </c>
      <c r="L235" s="48">
        <v>1196.3499999999999</v>
      </c>
      <c r="M235" s="48"/>
      <c r="N235" s="48">
        <f t="shared" si="10"/>
        <v>48065.25</v>
      </c>
      <c r="O235" s="48"/>
      <c r="P235" s="48"/>
      <c r="Q235" s="48" t="str">
        <f t="shared" si="11"/>
        <v>25116</v>
      </c>
      <c r="R235" s="48">
        <f t="shared" si="12"/>
        <v>48065.25</v>
      </c>
    </row>
    <row r="236" spans="1:18">
      <c r="A236" t="s">
        <v>444</v>
      </c>
      <c r="B236" t="s">
        <v>1805</v>
      </c>
      <c r="C236" s="48">
        <v>52058.15</v>
      </c>
      <c r="D236" s="48">
        <v>2516.0300000000002</v>
      </c>
      <c r="E236" s="48">
        <v>695.31</v>
      </c>
      <c r="F236" s="48">
        <v>0</v>
      </c>
      <c r="G236" s="48">
        <v>86.28</v>
      </c>
      <c r="H236" s="48">
        <v>3237.54</v>
      </c>
      <c r="I236" s="48">
        <v>1550.93</v>
      </c>
      <c r="J236" s="48">
        <v>114.09</v>
      </c>
      <c r="K236" s="48">
        <v>326.83999999999997</v>
      </c>
      <c r="L236" s="48">
        <v>1748.27</v>
      </c>
      <c r="M236" s="48"/>
      <c r="N236" s="48">
        <f t="shared" si="10"/>
        <v>62333.439999999988</v>
      </c>
      <c r="O236" s="48"/>
      <c r="P236" s="48"/>
      <c r="Q236" s="48" t="str">
        <f t="shared" si="11"/>
        <v>22009</v>
      </c>
      <c r="R236" s="48">
        <f t="shared" si="12"/>
        <v>62333.439999999988</v>
      </c>
    </row>
    <row r="237" spans="1:18">
      <c r="A237" t="s">
        <v>350</v>
      </c>
      <c r="B237" t="s">
        <v>1755</v>
      </c>
      <c r="C237" s="48">
        <v>1223669.76</v>
      </c>
      <c r="D237" s="48">
        <v>144849.45000000001</v>
      </c>
      <c r="E237" s="48">
        <v>30258.6</v>
      </c>
      <c r="F237" s="48">
        <v>0</v>
      </c>
      <c r="G237" s="48">
        <v>104.98</v>
      </c>
      <c r="H237" s="48">
        <v>89436.89</v>
      </c>
      <c r="I237" s="48">
        <v>37828.26</v>
      </c>
      <c r="J237" s="48">
        <v>109868.22</v>
      </c>
      <c r="K237" s="48">
        <v>7300.41</v>
      </c>
      <c r="L237" s="48">
        <v>34286.29</v>
      </c>
      <c r="M237" s="48"/>
      <c r="N237" s="48">
        <f t="shared" si="10"/>
        <v>1677602.8599999999</v>
      </c>
      <c r="O237" s="48"/>
      <c r="P237" s="48"/>
      <c r="Q237" s="48" t="str">
        <f t="shared" si="11"/>
        <v>17403</v>
      </c>
      <c r="R237" s="48">
        <f t="shared" si="12"/>
        <v>1677602.8599999999</v>
      </c>
    </row>
    <row r="238" spans="1:18">
      <c r="A238" t="s">
        <v>265</v>
      </c>
      <c r="B238" t="s">
        <v>1712</v>
      </c>
      <c r="C238" s="48">
        <v>30869.200000000001</v>
      </c>
      <c r="D238" s="48">
        <v>618.21</v>
      </c>
      <c r="E238" s="48">
        <v>0</v>
      </c>
      <c r="F238" s="48">
        <v>0</v>
      </c>
      <c r="G238" s="48">
        <v>82.05</v>
      </c>
      <c r="H238" s="48">
        <v>2884.5</v>
      </c>
      <c r="I238" s="48">
        <v>1484.64</v>
      </c>
      <c r="J238" s="48">
        <v>0</v>
      </c>
      <c r="K238" s="48">
        <v>235.88</v>
      </c>
      <c r="L238" s="48">
        <v>0</v>
      </c>
      <c r="M238" s="48"/>
      <c r="N238" s="48">
        <f t="shared" si="10"/>
        <v>36174.479999999996</v>
      </c>
      <c r="O238" s="48"/>
      <c r="P238" s="48"/>
      <c r="Q238" s="48" t="str">
        <f t="shared" si="11"/>
        <v>10309</v>
      </c>
      <c r="R238" s="48">
        <f t="shared" si="12"/>
        <v>36174.479999999996</v>
      </c>
    </row>
    <row r="239" spans="1:18">
      <c r="A239" t="s">
        <v>187</v>
      </c>
      <c r="B239" t="s">
        <v>1671</v>
      </c>
      <c r="C239" s="48">
        <v>956766.54</v>
      </c>
      <c r="D239" s="48">
        <v>71847.25</v>
      </c>
      <c r="E239" s="48">
        <v>13133.63</v>
      </c>
      <c r="F239" s="48">
        <v>0</v>
      </c>
      <c r="G239" s="48">
        <v>85.15</v>
      </c>
      <c r="H239" s="48">
        <v>58796.87</v>
      </c>
      <c r="I239" s="48">
        <v>19903.18</v>
      </c>
      <c r="J239" s="48">
        <v>23060.560000000001</v>
      </c>
      <c r="K239" s="48">
        <v>6048.04</v>
      </c>
      <c r="L239" s="48">
        <v>0</v>
      </c>
      <c r="M239" s="48"/>
      <c r="N239" s="48">
        <f t="shared" si="10"/>
        <v>1149641.2200000002</v>
      </c>
      <c r="O239" s="48"/>
      <c r="P239" s="48"/>
      <c r="Q239" s="48" t="str">
        <f t="shared" si="11"/>
        <v>03400</v>
      </c>
      <c r="R239" s="48">
        <f t="shared" si="12"/>
        <v>1149641.2200000002</v>
      </c>
    </row>
    <row r="240" spans="1:18">
      <c r="A240" t="s">
        <v>227</v>
      </c>
      <c r="B240" t="s">
        <v>1693</v>
      </c>
      <c r="C240" s="48">
        <v>334737.38</v>
      </c>
      <c r="D240" s="48">
        <v>22151.43</v>
      </c>
      <c r="E240" s="48">
        <v>7321.16</v>
      </c>
      <c r="F240" s="48">
        <v>0</v>
      </c>
      <c r="G240" s="48">
        <v>91.94</v>
      </c>
      <c r="H240" s="48">
        <v>11342.91</v>
      </c>
      <c r="I240" s="48">
        <v>0</v>
      </c>
      <c r="J240" s="48">
        <v>5690.25</v>
      </c>
      <c r="K240" s="48">
        <v>1992.08</v>
      </c>
      <c r="L240" s="48">
        <v>0</v>
      </c>
      <c r="M240" s="48"/>
      <c r="N240" s="48">
        <f t="shared" si="10"/>
        <v>383327.14999999997</v>
      </c>
      <c r="O240" s="48"/>
      <c r="P240" s="48"/>
      <c r="Q240" s="48" t="str">
        <f t="shared" si="11"/>
        <v>06122</v>
      </c>
      <c r="R240" s="48">
        <f t="shared" si="12"/>
        <v>383327.14999999997</v>
      </c>
    </row>
    <row r="241" spans="1:18">
      <c r="A241" t="s">
        <v>171</v>
      </c>
      <c r="B241" t="s">
        <v>1663</v>
      </c>
      <c r="C241" s="48">
        <v>31554.02</v>
      </c>
      <c r="D241" s="48">
        <v>3359.03</v>
      </c>
      <c r="E241" s="48">
        <v>772.81</v>
      </c>
      <c r="F241" s="48">
        <v>0</v>
      </c>
      <c r="G241" s="48">
        <v>90.78</v>
      </c>
      <c r="H241" s="48">
        <v>1968.92</v>
      </c>
      <c r="I241" s="48">
        <v>814.5</v>
      </c>
      <c r="J241" s="48">
        <v>0</v>
      </c>
      <c r="K241" s="48">
        <v>171.56</v>
      </c>
      <c r="L241" s="48">
        <v>1415.77</v>
      </c>
      <c r="M241" s="48"/>
      <c r="N241" s="48">
        <f t="shared" si="10"/>
        <v>40147.389999999992</v>
      </c>
      <c r="O241" s="48"/>
      <c r="P241" s="48"/>
      <c r="Q241" s="48" t="str">
        <f t="shared" si="11"/>
        <v>01160</v>
      </c>
      <c r="R241" s="48">
        <f t="shared" si="12"/>
        <v>40147.389999999992</v>
      </c>
    </row>
    <row r="242" spans="1:18">
      <c r="A242" t="s">
        <v>616</v>
      </c>
      <c r="B242" t="s">
        <v>1891</v>
      </c>
      <c r="C242" s="48">
        <v>104523.32</v>
      </c>
      <c r="D242" s="48">
        <v>8312.7800000000007</v>
      </c>
      <c r="E242" s="48">
        <v>3129.63</v>
      </c>
      <c r="F242" s="48">
        <v>0</v>
      </c>
      <c r="G242" s="48">
        <v>87.17</v>
      </c>
      <c r="H242" s="48">
        <v>7477.18</v>
      </c>
      <c r="I242" s="48">
        <v>4745.3100000000004</v>
      </c>
      <c r="J242" s="48">
        <v>325.3</v>
      </c>
      <c r="K242" s="48">
        <v>656.75</v>
      </c>
      <c r="L242" s="48">
        <v>0</v>
      </c>
      <c r="M242" s="48"/>
      <c r="N242" s="48">
        <f t="shared" si="10"/>
        <v>129257.44000000002</v>
      </c>
      <c r="O242" s="48"/>
      <c r="P242" s="48"/>
      <c r="Q242" s="48" t="str">
        <f t="shared" si="11"/>
        <v>32416</v>
      </c>
      <c r="R242" s="48">
        <f t="shared" si="12"/>
        <v>129257.44000000002</v>
      </c>
    </row>
    <row r="243" spans="1:18">
      <c r="A243" t="s">
        <v>358</v>
      </c>
      <c r="B243" t="s">
        <v>1759</v>
      </c>
      <c r="C243" s="48">
        <v>263811.81</v>
      </c>
      <c r="D243" s="48">
        <v>14868.24</v>
      </c>
      <c r="E243" s="48">
        <v>2104.81</v>
      </c>
      <c r="F243" s="48">
        <v>0</v>
      </c>
      <c r="G243" s="48">
        <v>103.34</v>
      </c>
      <c r="H243" s="48">
        <v>7103.94</v>
      </c>
      <c r="I243" s="48">
        <v>0</v>
      </c>
      <c r="J243" s="48">
        <v>6918.38</v>
      </c>
      <c r="K243" s="48">
        <v>1540.86</v>
      </c>
      <c r="L243" s="48">
        <v>0</v>
      </c>
      <c r="M243" s="48"/>
      <c r="N243" s="48">
        <f t="shared" si="10"/>
        <v>296451.38</v>
      </c>
      <c r="O243" s="48"/>
      <c r="P243" s="48"/>
      <c r="Q243" s="48" t="str">
        <f t="shared" si="11"/>
        <v>17407</v>
      </c>
      <c r="R243" s="48">
        <f t="shared" si="12"/>
        <v>296451.38</v>
      </c>
    </row>
    <row r="244" spans="1:18">
      <c r="A244" t="s">
        <v>652</v>
      </c>
      <c r="B244" t="s">
        <v>1910</v>
      </c>
      <c r="C244" s="48">
        <v>159475.22</v>
      </c>
      <c r="D244" s="48">
        <v>11211.15</v>
      </c>
      <c r="E244" s="48">
        <v>0</v>
      </c>
      <c r="F244" s="48">
        <v>0</v>
      </c>
      <c r="G244" s="48">
        <v>86.99</v>
      </c>
      <c r="H244" s="48">
        <v>11648.99</v>
      </c>
      <c r="I244" s="48">
        <v>9506.0499999999993</v>
      </c>
      <c r="J244" s="48">
        <v>5674.95</v>
      </c>
      <c r="K244" s="48">
        <v>903.43</v>
      </c>
      <c r="L244" s="48">
        <v>3632.21</v>
      </c>
      <c r="M244" s="48"/>
      <c r="N244" s="48">
        <f t="shared" si="10"/>
        <v>202138.98999999996</v>
      </c>
      <c r="O244" s="48"/>
      <c r="P244" s="48"/>
      <c r="Q244" s="48" t="str">
        <f t="shared" si="11"/>
        <v>34401</v>
      </c>
      <c r="R244" s="48">
        <f t="shared" si="12"/>
        <v>202138.98999999996</v>
      </c>
    </row>
    <row r="245" spans="1:18">
      <c r="A245" t="s">
        <v>408</v>
      </c>
      <c r="B245" t="s">
        <v>1787</v>
      </c>
      <c r="C245" s="48">
        <v>4125.55</v>
      </c>
      <c r="D245" s="48">
        <v>0</v>
      </c>
      <c r="E245" s="48">
        <v>0</v>
      </c>
      <c r="F245" s="48">
        <v>0</v>
      </c>
      <c r="G245" s="48">
        <v>100.04</v>
      </c>
      <c r="H245" s="48">
        <v>87.88</v>
      </c>
      <c r="I245" s="48">
        <v>0</v>
      </c>
      <c r="J245" s="48">
        <v>235.88</v>
      </c>
      <c r="K245" s="48">
        <v>0</v>
      </c>
      <c r="L245" s="48">
        <v>0</v>
      </c>
      <c r="M245" s="48"/>
      <c r="N245" s="48">
        <f t="shared" si="10"/>
        <v>4549.3500000000004</v>
      </c>
      <c r="O245" s="48"/>
      <c r="P245" s="48"/>
      <c r="Q245" s="48" t="str">
        <f t="shared" si="11"/>
        <v>20403</v>
      </c>
      <c r="R245" s="48">
        <f t="shared" si="12"/>
        <v>4549.3500000000004</v>
      </c>
    </row>
    <row r="246" spans="1:18">
      <c r="A246" t="s">
        <v>2307</v>
      </c>
      <c r="B246" t="s">
        <v>2391</v>
      </c>
      <c r="C246" s="48">
        <v>14240.31</v>
      </c>
      <c r="D246" s="48">
        <v>642.24</v>
      </c>
      <c r="E246" s="48">
        <v>0</v>
      </c>
      <c r="F246" s="48">
        <v>0</v>
      </c>
      <c r="G246" s="48">
        <v>83.15</v>
      </c>
      <c r="H246" s="48">
        <v>370.96</v>
      </c>
      <c r="I246" s="48">
        <v>256.57</v>
      </c>
      <c r="J246" s="48">
        <v>0</v>
      </c>
      <c r="K246" s="48">
        <v>31.05</v>
      </c>
      <c r="L246" s="48">
        <v>0</v>
      </c>
      <c r="M246" s="48"/>
      <c r="N246" s="48">
        <f t="shared" si="10"/>
        <v>15624.279999999997</v>
      </c>
      <c r="O246" s="48"/>
      <c r="P246" s="48"/>
      <c r="Q246" s="48" t="str">
        <f t="shared" si="11"/>
        <v>06901</v>
      </c>
      <c r="R246" s="48">
        <f t="shared" si="12"/>
        <v>15624.279999999997</v>
      </c>
    </row>
    <row r="247" spans="1:18">
      <c r="A247" t="s">
        <v>705</v>
      </c>
      <c r="B247" t="s">
        <v>1939</v>
      </c>
      <c r="C247" s="48">
        <v>22208.06</v>
      </c>
      <c r="D247" s="48">
        <v>525.9</v>
      </c>
      <c r="E247" s="48">
        <v>299.83</v>
      </c>
      <c r="F247" s="48">
        <v>0</v>
      </c>
      <c r="G247" s="48">
        <v>92.67</v>
      </c>
      <c r="H247" s="48">
        <v>949.19</v>
      </c>
      <c r="I247" s="48">
        <v>684.63</v>
      </c>
      <c r="J247" s="48">
        <v>0</v>
      </c>
      <c r="K247" s="48">
        <v>62.53</v>
      </c>
      <c r="L247" s="48">
        <v>957.21</v>
      </c>
      <c r="M247" s="48"/>
      <c r="N247" s="48">
        <f t="shared" si="10"/>
        <v>25780.02</v>
      </c>
      <c r="O247" s="48"/>
      <c r="P247" s="48"/>
      <c r="Q247" s="48" t="str">
        <f t="shared" si="11"/>
        <v>38320</v>
      </c>
      <c r="R247" s="48">
        <f t="shared" si="12"/>
        <v>25780.02</v>
      </c>
    </row>
    <row r="248" spans="1:18">
      <c r="A248" t="s">
        <v>287</v>
      </c>
      <c r="B248" t="s">
        <v>1723</v>
      </c>
      <c r="C248" s="48">
        <v>130190.87</v>
      </c>
      <c r="D248" s="48">
        <v>10369.379999999999</v>
      </c>
      <c r="E248" s="48">
        <v>2844.41</v>
      </c>
      <c r="F248" s="48">
        <v>0</v>
      </c>
      <c r="G248" s="48">
        <v>88.11</v>
      </c>
      <c r="H248" s="48">
        <v>11590.41</v>
      </c>
      <c r="I248" s="48">
        <v>7805.57</v>
      </c>
      <c r="J248" s="48">
        <v>19047.54</v>
      </c>
      <c r="K248" s="48">
        <v>744.63</v>
      </c>
      <c r="L248" s="48">
        <v>5056.74</v>
      </c>
      <c r="M248" s="48"/>
      <c r="N248" s="48">
        <f t="shared" si="10"/>
        <v>187737.66</v>
      </c>
      <c r="O248" s="48"/>
      <c r="P248" s="48"/>
      <c r="Q248" s="48" t="str">
        <f t="shared" si="11"/>
        <v>13160</v>
      </c>
      <c r="R248" s="48">
        <f t="shared" si="12"/>
        <v>187737.66</v>
      </c>
    </row>
    <row r="249" spans="1:18">
      <c r="A249" t="s">
        <v>541</v>
      </c>
      <c r="B249" t="s">
        <v>1852</v>
      </c>
      <c r="C249" s="48">
        <v>71505.679999999993</v>
      </c>
      <c r="D249" s="48">
        <v>2312.0300000000002</v>
      </c>
      <c r="E249" s="48">
        <v>0</v>
      </c>
      <c r="F249" s="48">
        <v>0</v>
      </c>
      <c r="G249" s="48">
        <v>97.78</v>
      </c>
      <c r="H249" s="48">
        <v>3529.35</v>
      </c>
      <c r="I249" s="48">
        <v>0</v>
      </c>
      <c r="J249" s="48">
        <v>2099.66</v>
      </c>
      <c r="K249" s="48">
        <v>393.69</v>
      </c>
      <c r="L249" s="48">
        <v>2146.2800000000002</v>
      </c>
      <c r="M249" s="48"/>
      <c r="N249" s="48">
        <f t="shared" si="10"/>
        <v>82084.47</v>
      </c>
      <c r="O249" s="48"/>
      <c r="P249" s="48"/>
      <c r="Q249" s="48" t="str">
        <f t="shared" si="11"/>
        <v>28149</v>
      </c>
      <c r="R249" s="48">
        <f t="shared" si="12"/>
        <v>82084.47</v>
      </c>
    </row>
    <row r="250" spans="1:18">
      <c r="A250" t="s">
        <v>314</v>
      </c>
      <c r="B250" t="s">
        <v>1737</v>
      </c>
      <c r="C250" s="48">
        <v>7538.86</v>
      </c>
      <c r="D250" s="48">
        <v>0</v>
      </c>
      <c r="E250" s="48">
        <v>0</v>
      </c>
      <c r="F250" s="48">
        <v>0</v>
      </c>
      <c r="G250" s="48">
        <v>95.04</v>
      </c>
      <c r="H250" s="48">
        <v>386.96</v>
      </c>
      <c r="I250" s="48">
        <v>282.13</v>
      </c>
      <c r="J250" s="48">
        <v>0</v>
      </c>
      <c r="K250" s="48">
        <v>0</v>
      </c>
      <c r="L250" s="48">
        <v>0</v>
      </c>
      <c r="M250" s="48"/>
      <c r="N250" s="48">
        <f t="shared" si="10"/>
        <v>8302.99</v>
      </c>
      <c r="O250" s="48"/>
      <c r="P250" s="48"/>
      <c r="Q250" s="48" t="str">
        <f t="shared" si="11"/>
        <v>14104</v>
      </c>
      <c r="R250" s="48">
        <f t="shared" si="12"/>
        <v>8302.99</v>
      </c>
    </row>
    <row r="251" spans="1:18">
      <c r="A251" t="s">
        <v>338</v>
      </c>
      <c r="B251" t="s">
        <v>1749</v>
      </c>
      <c r="C251" s="48">
        <v>4751734.28</v>
      </c>
      <c r="D251" s="48">
        <v>195204.65</v>
      </c>
      <c r="E251" s="48">
        <v>52105.27</v>
      </c>
      <c r="F251" s="48">
        <v>24395.35</v>
      </c>
      <c r="G251" s="48">
        <v>104.84</v>
      </c>
      <c r="H251" s="48">
        <v>234542.84</v>
      </c>
      <c r="I251" s="48">
        <v>75903.92</v>
      </c>
      <c r="J251" s="48">
        <v>214579.04</v>
      </c>
      <c r="K251" s="48">
        <v>25872.54</v>
      </c>
      <c r="L251" s="48">
        <v>0</v>
      </c>
      <c r="M251" s="48"/>
      <c r="N251" s="48">
        <f t="shared" si="10"/>
        <v>5574442.7299999995</v>
      </c>
      <c r="O251" s="48"/>
      <c r="P251" s="48"/>
      <c r="Q251" s="48" t="str">
        <f t="shared" si="11"/>
        <v>17001</v>
      </c>
      <c r="R251" s="48">
        <f t="shared" si="12"/>
        <v>5574442.7299999995</v>
      </c>
    </row>
    <row r="252" spans="1:18">
      <c r="A252" t="s">
        <v>546</v>
      </c>
      <c r="B252" t="s">
        <v>1855</v>
      </c>
      <c r="C252" s="48">
        <v>374910.97</v>
      </c>
      <c r="D252" s="48">
        <v>34376.67</v>
      </c>
      <c r="E252" s="48">
        <v>2068.5700000000002</v>
      </c>
      <c r="F252" s="48">
        <v>0</v>
      </c>
      <c r="G252" s="48">
        <v>99.07</v>
      </c>
      <c r="H252" s="48">
        <v>24850.52</v>
      </c>
      <c r="I252" s="48">
        <v>11663.79</v>
      </c>
      <c r="J252" s="48">
        <v>11919.34</v>
      </c>
      <c r="K252" s="48">
        <v>2134.1799999999998</v>
      </c>
      <c r="L252" s="48">
        <v>11321.91</v>
      </c>
      <c r="M252" s="48"/>
      <c r="N252" s="48">
        <f t="shared" si="10"/>
        <v>473345.01999999996</v>
      </c>
      <c r="O252" s="48"/>
      <c r="P252" s="48"/>
      <c r="Q252" s="48" t="str">
        <f t="shared" si="11"/>
        <v>29101</v>
      </c>
      <c r="R252" s="48">
        <f t="shared" si="12"/>
        <v>473345.01999999996</v>
      </c>
    </row>
    <row r="253" spans="1:18">
      <c r="A253" t="s">
        <v>718</v>
      </c>
      <c r="B253" t="s">
        <v>1946</v>
      </c>
      <c r="C253" s="48">
        <v>246731.64</v>
      </c>
      <c r="D253" s="48">
        <v>36908</v>
      </c>
      <c r="E253" s="48">
        <v>19920.14</v>
      </c>
      <c r="F253" s="48">
        <v>0</v>
      </c>
      <c r="G253" s="48">
        <v>87.08</v>
      </c>
      <c r="H253" s="48">
        <v>19949.43</v>
      </c>
      <c r="I253" s="48">
        <v>16056.67</v>
      </c>
      <c r="J253" s="48">
        <v>10366.299999999999</v>
      </c>
      <c r="K253" s="48">
        <v>1589.47</v>
      </c>
      <c r="L253" s="48">
        <v>2196.91</v>
      </c>
      <c r="M253" s="48"/>
      <c r="N253" s="48">
        <f t="shared" si="10"/>
        <v>353805.63999999996</v>
      </c>
      <c r="O253" s="48"/>
      <c r="P253" s="48"/>
      <c r="Q253" s="48" t="str">
        <f t="shared" si="11"/>
        <v>39119</v>
      </c>
      <c r="R253" s="48">
        <f t="shared" si="12"/>
        <v>353805.63999999996</v>
      </c>
    </row>
    <row r="254" spans="1:18">
      <c r="A254" t="s">
        <v>503</v>
      </c>
      <c r="B254" t="s">
        <v>1834</v>
      </c>
      <c r="C254" s="48">
        <v>26151.64</v>
      </c>
      <c r="D254" s="48">
        <v>2146.02</v>
      </c>
      <c r="E254" s="48">
        <v>388.51</v>
      </c>
      <c r="F254" s="48">
        <v>0</v>
      </c>
      <c r="G254" s="48">
        <v>88.77</v>
      </c>
      <c r="H254" s="48">
        <v>1620.32</v>
      </c>
      <c r="I254" s="48">
        <v>1156.27</v>
      </c>
      <c r="J254" s="48">
        <v>0</v>
      </c>
      <c r="K254" s="48">
        <v>0</v>
      </c>
      <c r="L254" s="48">
        <v>1151.6400000000001</v>
      </c>
      <c r="M254" s="48"/>
      <c r="N254" s="48">
        <f t="shared" si="10"/>
        <v>32703.17</v>
      </c>
      <c r="O254" s="48"/>
      <c r="P254" s="48"/>
      <c r="Q254" s="48" t="str">
        <f t="shared" si="11"/>
        <v>26070</v>
      </c>
      <c r="R254" s="48">
        <f t="shared" si="12"/>
        <v>32703.17</v>
      </c>
    </row>
    <row r="255" spans="1:18">
      <c r="A255" t="s">
        <v>207</v>
      </c>
      <c r="B255" t="s">
        <v>1681</v>
      </c>
      <c r="C255" s="48">
        <v>180259.17</v>
      </c>
      <c r="D255" s="48">
        <v>20752.560000000001</v>
      </c>
      <c r="E255" s="48">
        <v>6471.38</v>
      </c>
      <c r="F255" s="48">
        <v>0</v>
      </c>
      <c r="G255" s="48">
        <v>90.23</v>
      </c>
      <c r="H255" s="48">
        <v>13454.28</v>
      </c>
      <c r="I255" s="48">
        <v>2505.21</v>
      </c>
      <c r="J255" s="48">
        <v>1521.43</v>
      </c>
      <c r="K255" s="48">
        <v>1201.1300000000001</v>
      </c>
      <c r="L255" s="48">
        <v>0</v>
      </c>
      <c r="M255" s="48"/>
      <c r="N255" s="48">
        <f t="shared" si="10"/>
        <v>226255.39</v>
      </c>
      <c r="O255" s="48"/>
      <c r="P255" s="48"/>
      <c r="Q255" s="48" t="str">
        <f t="shared" si="11"/>
        <v>05323</v>
      </c>
      <c r="R255" s="48">
        <f t="shared" si="12"/>
        <v>226255.39</v>
      </c>
    </row>
    <row r="256" spans="1:18">
      <c r="A256" t="s">
        <v>535</v>
      </c>
      <c r="B256" t="s">
        <v>1850</v>
      </c>
      <c r="C256" s="48">
        <v>3294.56</v>
      </c>
      <c r="D256" s="48">
        <v>0</v>
      </c>
      <c r="E256" s="48">
        <v>0</v>
      </c>
      <c r="F256" s="48">
        <v>0</v>
      </c>
      <c r="G256" s="48">
        <v>112.79</v>
      </c>
      <c r="H256" s="48">
        <v>0</v>
      </c>
      <c r="I256" s="48">
        <v>0</v>
      </c>
      <c r="J256" s="48">
        <v>0</v>
      </c>
      <c r="K256" s="48">
        <v>3.63</v>
      </c>
      <c r="L256" s="48">
        <v>0</v>
      </c>
      <c r="M256" s="48"/>
      <c r="N256" s="48">
        <f t="shared" si="10"/>
        <v>3410.98</v>
      </c>
      <c r="O256" s="48"/>
      <c r="P256" s="48"/>
      <c r="Q256" s="48" t="str">
        <f t="shared" si="11"/>
        <v>28010</v>
      </c>
      <c r="R256" s="48">
        <f t="shared" si="12"/>
        <v>3410.98</v>
      </c>
    </row>
    <row r="257" spans="1:18">
      <c r="A257" t="s">
        <v>462</v>
      </c>
      <c r="B257" t="s">
        <v>1814</v>
      </c>
      <c r="C257" s="48">
        <v>263176.82</v>
      </c>
      <c r="D257" s="48">
        <v>60244.52</v>
      </c>
      <c r="E257" s="48">
        <v>15564.88</v>
      </c>
      <c r="F257" s="48">
        <v>0</v>
      </c>
      <c r="G257" s="48">
        <v>86.55</v>
      </c>
      <c r="H257" s="48">
        <v>28644.55</v>
      </c>
      <c r="I257" s="48">
        <v>19160.09</v>
      </c>
      <c r="J257" s="48">
        <v>27230.83</v>
      </c>
      <c r="K257" s="48">
        <v>1845.4</v>
      </c>
      <c r="L257" s="48">
        <v>0</v>
      </c>
      <c r="M257" s="48"/>
      <c r="N257" s="48">
        <f t="shared" si="10"/>
        <v>415953.64000000007</v>
      </c>
      <c r="O257" s="48"/>
      <c r="P257" s="48"/>
      <c r="Q257" s="48" t="str">
        <f t="shared" si="11"/>
        <v>23309</v>
      </c>
      <c r="R257" s="48">
        <f t="shared" si="12"/>
        <v>415953.64000000007</v>
      </c>
    </row>
    <row r="258" spans="1:18">
      <c r="A258" t="s">
        <v>366</v>
      </c>
      <c r="B258" t="s">
        <v>1764</v>
      </c>
      <c r="C258" s="48">
        <v>871992.85</v>
      </c>
      <c r="D258" s="48">
        <v>48828.91</v>
      </c>
      <c r="E258" s="48">
        <v>3276.36</v>
      </c>
      <c r="F258" s="48">
        <v>0</v>
      </c>
      <c r="G258" s="48">
        <v>103.24</v>
      </c>
      <c r="H258" s="48">
        <v>32927.360000000001</v>
      </c>
      <c r="I258" s="48">
        <v>0</v>
      </c>
      <c r="J258" s="48">
        <v>33987.949999999997</v>
      </c>
      <c r="K258" s="48">
        <v>4853.6000000000004</v>
      </c>
      <c r="L258" s="48">
        <v>0</v>
      </c>
      <c r="M258" s="48"/>
      <c r="N258" s="48">
        <f t="shared" si="10"/>
        <v>995970.2699999999</v>
      </c>
      <c r="O258" s="48"/>
      <c r="P258" s="48"/>
      <c r="Q258" s="48" t="str">
        <f t="shared" si="11"/>
        <v>17412</v>
      </c>
      <c r="R258" s="48">
        <f t="shared" si="12"/>
        <v>995970.2699999999</v>
      </c>
    </row>
    <row r="259" spans="1:18">
      <c r="A259" t="s">
        <v>556</v>
      </c>
      <c r="B259" t="s">
        <v>1860</v>
      </c>
      <c r="C259" s="48">
        <v>12030.9</v>
      </c>
      <c r="D259" s="48">
        <v>0</v>
      </c>
      <c r="E259" s="48">
        <v>0</v>
      </c>
      <c r="F259" s="48">
        <v>0</v>
      </c>
      <c r="G259" s="48">
        <v>99.97</v>
      </c>
      <c r="H259" s="48">
        <v>759.9</v>
      </c>
      <c r="I259" s="48">
        <v>526.21</v>
      </c>
      <c r="J259" s="48">
        <v>0</v>
      </c>
      <c r="K259" s="48">
        <v>53.93</v>
      </c>
      <c r="L259" s="48">
        <v>776.24</v>
      </c>
      <c r="M259" s="48"/>
      <c r="N259" s="48">
        <f t="shared" si="10"/>
        <v>14247.15</v>
      </c>
      <c r="O259" s="48"/>
      <c r="P259" s="48"/>
      <c r="Q259" s="48" t="str">
        <f t="shared" si="11"/>
        <v>30002</v>
      </c>
      <c r="R259" s="48">
        <f t="shared" si="12"/>
        <v>14247.15</v>
      </c>
    </row>
    <row r="260" spans="1:18">
      <c r="A260" t="s">
        <v>352</v>
      </c>
      <c r="B260" t="s">
        <v>1756</v>
      </c>
      <c r="C260" s="48">
        <v>22923.63</v>
      </c>
      <c r="D260" s="48">
        <v>158.27000000000001</v>
      </c>
      <c r="E260" s="48">
        <v>0</v>
      </c>
      <c r="F260" s="48">
        <v>0</v>
      </c>
      <c r="G260" s="48">
        <v>105.95</v>
      </c>
      <c r="H260" s="48">
        <v>360.2</v>
      </c>
      <c r="I260" s="48">
        <v>216.48</v>
      </c>
      <c r="J260" s="48">
        <v>0</v>
      </c>
      <c r="K260" s="48">
        <v>0</v>
      </c>
      <c r="L260" s="48">
        <v>0</v>
      </c>
      <c r="M260" s="48"/>
      <c r="N260" s="48">
        <f t="shared" si="10"/>
        <v>23764.530000000002</v>
      </c>
      <c r="O260" s="48"/>
      <c r="P260" s="48"/>
      <c r="Q260" s="48" t="str">
        <f t="shared" si="11"/>
        <v>17404</v>
      </c>
      <c r="R260" s="48">
        <f t="shared" si="12"/>
        <v>23764.530000000002</v>
      </c>
    </row>
    <row r="261" spans="1:18">
      <c r="A261" t="s">
        <v>580</v>
      </c>
      <c r="B261" t="s">
        <v>1872</v>
      </c>
      <c r="C261" s="48">
        <v>929362.3</v>
      </c>
      <c r="D261" s="48">
        <v>46754.38</v>
      </c>
      <c r="E261" s="48">
        <v>12515.23</v>
      </c>
      <c r="F261" s="48">
        <v>0</v>
      </c>
      <c r="G261" s="48">
        <v>107.44</v>
      </c>
      <c r="H261" s="48">
        <v>25152.720000000001</v>
      </c>
      <c r="I261" s="48">
        <v>0</v>
      </c>
      <c r="J261" s="48">
        <v>20668.75</v>
      </c>
      <c r="K261" s="48">
        <v>5217.5</v>
      </c>
      <c r="L261" s="48">
        <v>8347.25</v>
      </c>
      <c r="M261" s="48"/>
      <c r="N261" s="48">
        <f t="shared" ref="N261:N281" si="13">SUM(C261:M261)</f>
        <v>1048125.57</v>
      </c>
      <c r="O261" s="48"/>
      <c r="P261" s="48"/>
      <c r="Q261" s="48" t="str">
        <f t="shared" si="11"/>
        <v>31201</v>
      </c>
      <c r="R261" s="48">
        <f t="shared" si="12"/>
        <v>1048125.57</v>
      </c>
    </row>
    <row r="262" spans="1:18">
      <c r="A262" t="s">
        <v>363</v>
      </c>
      <c r="B262" t="s">
        <v>1762</v>
      </c>
      <c r="C262" s="48">
        <v>637604.63</v>
      </c>
      <c r="D262" s="48">
        <v>44215.44</v>
      </c>
      <c r="E262" s="48">
        <v>5197.43</v>
      </c>
      <c r="F262" s="48">
        <v>0</v>
      </c>
      <c r="G262" s="48">
        <v>103.42</v>
      </c>
      <c r="H262" s="48">
        <v>9721.76</v>
      </c>
      <c r="I262" s="48">
        <v>0</v>
      </c>
      <c r="J262" s="48">
        <v>9125.06</v>
      </c>
      <c r="K262" s="48">
        <v>3647.48</v>
      </c>
      <c r="L262" s="48">
        <v>0</v>
      </c>
      <c r="M262" s="48"/>
      <c r="N262" s="48">
        <f t="shared" si="13"/>
        <v>709615.2200000002</v>
      </c>
      <c r="O262" s="48"/>
      <c r="P262" s="48"/>
      <c r="Q262" s="48" t="str">
        <f t="shared" ref="Q262:Q281" si="14">TEXT(A262, "00000")</f>
        <v>17410</v>
      </c>
      <c r="R262" s="48">
        <f t="shared" ref="R262:R281" si="15">N262</f>
        <v>709615.2200000002</v>
      </c>
    </row>
    <row r="263" spans="1:18">
      <c r="A263" t="s">
        <v>285</v>
      </c>
      <c r="B263" t="s">
        <v>1722</v>
      </c>
      <c r="C263" s="48">
        <v>41716.519999999997</v>
      </c>
      <c r="D263" s="48">
        <v>5489.94</v>
      </c>
      <c r="E263" s="48">
        <v>764.68</v>
      </c>
      <c r="F263" s="48">
        <v>0</v>
      </c>
      <c r="G263" s="48">
        <v>91.25</v>
      </c>
      <c r="H263" s="48">
        <v>3999.14</v>
      </c>
      <c r="I263" s="48">
        <v>2471.3200000000002</v>
      </c>
      <c r="J263" s="48">
        <v>3618.34</v>
      </c>
      <c r="K263" s="48">
        <v>220.46</v>
      </c>
      <c r="L263" s="48">
        <v>3908.18</v>
      </c>
      <c r="M263" s="48"/>
      <c r="N263" s="48">
        <f t="shared" si="13"/>
        <v>62279.83</v>
      </c>
      <c r="O263" s="48"/>
      <c r="P263" s="48"/>
      <c r="Q263" s="48" t="str">
        <f t="shared" si="14"/>
        <v>13156</v>
      </c>
      <c r="R263" s="48">
        <f t="shared" si="15"/>
        <v>62279.83</v>
      </c>
    </row>
    <row r="264" spans="1:18">
      <c r="A264" t="s">
        <v>492</v>
      </c>
      <c r="B264" t="s">
        <v>1828</v>
      </c>
      <c r="C264" s="48">
        <v>41255.550000000003</v>
      </c>
      <c r="D264" s="48">
        <v>3200.54</v>
      </c>
      <c r="E264" s="48">
        <v>507.22</v>
      </c>
      <c r="F264" s="48">
        <v>0</v>
      </c>
      <c r="G264" s="48">
        <v>80.819999999999993</v>
      </c>
      <c r="H264" s="48">
        <v>8793.7800000000007</v>
      </c>
      <c r="I264" s="48">
        <v>2455.9</v>
      </c>
      <c r="J264" s="48">
        <v>5659.53</v>
      </c>
      <c r="K264" s="48">
        <v>982.05</v>
      </c>
      <c r="L264" s="48">
        <v>692.21</v>
      </c>
      <c r="M264" s="48"/>
      <c r="N264" s="48">
        <f t="shared" si="13"/>
        <v>63627.600000000006</v>
      </c>
      <c r="O264" s="48"/>
      <c r="P264" s="48"/>
      <c r="Q264" s="48" t="str">
        <f t="shared" si="14"/>
        <v>25118</v>
      </c>
      <c r="R264" s="48">
        <f t="shared" si="15"/>
        <v>63627.600000000006</v>
      </c>
    </row>
    <row r="265" spans="1:18">
      <c r="A265" t="s">
        <v>382</v>
      </c>
      <c r="B265" t="s">
        <v>1773</v>
      </c>
      <c r="C265" s="48">
        <v>776638.13</v>
      </c>
      <c r="D265" s="48">
        <v>69052.850000000006</v>
      </c>
      <c r="E265" s="48">
        <v>34255.370000000003</v>
      </c>
      <c r="F265" s="48">
        <v>0</v>
      </c>
      <c r="G265" s="48">
        <v>104.06</v>
      </c>
      <c r="H265" s="48">
        <v>42187.05</v>
      </c>
      <c r="I265" s="48">
        <v>6792.86</v>
      </c>
      <c r="J265" s="48">
        <v>8033.54</v>
      </c>
      <c r="K265" s="48">
        <v>4788.1099999999997</v>
      </c>
      <c r="L265" s="48">
        <v>0</v>
      </c>
      <c r="M265" s="48"/>
      <c r="N265" s="48">
        <f t="shared" si="13"/>
        <v>941851.97000000009</v>
      </c>
      <c r="O265" s="48"/>
      <c r="P265" s="48"/>
      <c r="Q265" s="48" t="str">
        <f t="shared" si="14"/>
        <v>18402</v>
      </c>
      <c r="R265" s="48">
        <f t="shared" si="15"/>
        <v>941851.97000000009</v>
      </c>
    </row>
    <row r="266" spans="1:18">
      <c r="A266" t="s">
        <v>326</v>
      </c>
      <c r="B266" t="s">
        <v>1743</v>
      </c>
      <c r="C266" s="48">
        <v>109679.03</v>
      </c>
      <c r="D266" s="48">
        <v>6454.49</v>
      </c>
      <c r="E266" s="48">
        <v>0</v>
      </c>
      <c r="F266" s="48">
        <v>0</v>
      </c>
      <c r="G266" s="48">
        <v>102.57</v>
      </c>
      <c r="H266" s="48">
        <v>4840.8599999999997</v>
      </c>
      <c r="I266" s="48">
        <v>140.08000000000001</v>
      </c>
      <c r="J266" s="48">
        <v>443.88</v>
      </c>
      <c r="K266" s="48">
        <v>640.36</v>
      </c>
      <c r="L266" s="48">
        <v>2001.1</v>
      </c>
      <c r="M266" s="48"/>
      <c r="N266" s="48">
        <f t="shared" si="13"/>
        <v>124302.37000000002</v>
      </c>
      <c r="O266" s="48"/>
      <c r="P266" s="48"/>
      <c r="Q266" s="48" t="str">
        <f t="shared" si="14"/>
        <v>15206</v>
      </c>
      <c r="R266" s="48">
        <f t="shared" si="15"/>
        <v>124302.37000000002</v>
      </c>
    </row>
    <row r="267" spans="1:18">
      <c r="A267" t="s">
        <v>458</v>
      </c>
      <c r="B267" t="s">
        <v>1812</v>
      </c>
      <c r="C267" s="48">
        <v>18057.78</v>
      </c>
      <c r="D267" s="48">
        <v>0</v>
      </c>
      <c r="E267" s="48">
        <v>0</v>
      </c>
      <c r="F267" s="48">
        <v>0</v>
      </c>
      <c r="G267" s="48">
        <v>92.85</v>
      </c>
      <c r="H267" s="48">
        <v>1017.51</v>
      </c>
      <c r="I267" s="48">
        <v>0</v>
      </c>
      <c r="J267" s="48">
        <v>299.08999999999997</v>
      </c>
      <c r="K267" s="48">
        <v>92.5</v>
      </c>
      <c r="L267" s="48">
        <v>0</v>
      </c>
      <c r="M267" s="48"/>
      <c r="N267" s="48">
        <f t="shared" si="13"/>
        <v>19559.729999999996</v>
      </c>
      <c r="O267" s="48"/>
      <c r="P267" s="48"/>
      <c r="Q267" s="48" t="str">
        <f t="shared" si="14"/>
        <v>23042</v>
      </c>
      <c r="R267" s="48">
        <f t="shared" si="15"/>
        <v>19559.729999999996</v>
      </c>
    </row>
    <row r="268" spans="1:18">
      <c r="A268" t="s">
        <v>592</v>
      </c>
      <c r="B268" t="s">
        <v>1878</v>
      </c>
      <c r="C268" s="48">
        <v>2163320.3199999998</v>
      </c>
      <c r="D268" s="48">
        <v>94802.98</v>
      </c>
      <c r="E268" s="48">
        <v>22197.22</v>
      </c>
      <c r="F268" s="48">
        <v>53891.23</v>
      </c>
      <c r="G268" s="48">
        <v>87.98</v>
      </c>
      <c r="H268" s="48">
        <v>169769.07</v>
      </c>
      <c r="I268" s="48">
        <v>81968.429999999993</v>
      </c>
      <c r="J268" s="48">
        <v>67845.039999999994</v>
      </c>
      <c r="K268" s="48">
        <v>12595.58</v>
      </c>
      <c r="L268" s="48">
        <v>13841.27</v>
      </c>
      <c r="M268" s="48"/>
      <c r="N268" s="48">
        <f t="shared" si="13"/>
        <v>2680319.12</v>
      </c>
      <c r="O268" s="48"/>
      <c r="P268" s="48"/>
      <c r="Q268" s="48" t="str">
        <f t="shared" si="14"/>
        <v>32081</v>
      </c>
      <c r="R268" s="48">
        <f t="shared" si="15"/>
        <v>2680319.12</v>
      </c>
    </row>
    <row r="269" spans="1:18">
      <c r="A269" t="s">
        <v>1418</v>
      </c>
      <c r="B269" t="s">
        <v>1967</v>
      </c>
      <c r="C269" s="48">
        <v>84495.26</v>
      </c>
      <c r="D269" s="48">
        <v>0</v>
      </c>
      <c r="E269" s="48">
        <v>0</v>
      </c>
      <c r="F269" s="48">
        <v>0</v>
      </c>
      <c r="G269" s="48">
        <v>91.38</v>
      </c>
      <c r="H269" s="48">
        <v>4125.55</v>
      </c>
      <c r="I269" s="48">
        <v>3735.51</v>
      </c>
      <c r="J269" s="48">
        <v>1735.94</v>
      </c>
      <c r="K269" s="48">
        <v>377.72</v>
      </c>
      <c r="L269" s="48">
        <v>0</v>
      </c>
      <c r="M269" s="48"/>
      <c r="N269" s="48">
        <f t="shared" si="13"/>
        <v>94561.36</v>
      </c>
      <c r="O269" s="48"/>
      <c r="P269" s="48"/>
      <c r="Q269" s="48" t="str">
        <f t="shared" si="14"/>
        <v>32901</v>
      </c>
      <c r="R269" s="48">
        <f t="shared" si="15"/>
        <v>94561.36</v>
      </c>
    </row>
    <row r="270" spans="1:18">
      <c r="A270" t="s">
        <v>442</v>
      </c>
      <c r="B270" t="s">
        <v>1804</v>
      </c>
      <c r="C270" s="48">
        <v>17824.990000000002</v>
      </c>
      <c r="D270" s="48">
        <v>345.34</v>
      </c>
      <c r="E270" s="48">
        <v>0</v>
      </c>
      <c r="F270" s="48">
        <v>0</v>
      </c>
      <c r="G270" s="48">
        <v>93.41</v>
      </c>
      <c r="H270" s="48">
        <v>286.76</v>
      </c>
      <c r="I270" s="48">
        <v>214.29</v>
      </c>
      <c r="J270" s="48">
        <v>0</v>
      </c>
      <c r="K270" s="48">
        <v>23.12</v>
      </c>
      <c r="L270" s="48">
        <v>0</v>
      </c>
      <c r="M270" s="48"/>
      <c r="N270" s="48">
        <f t="shared" si="13"/>
        <v>18787.91</v>
      </c>
      <c r="O270" s="48"/>
      <c r="P270" s="48"/>
      <c r="Q270" s="48" t="str">
        <f t="shared" si="14"/>
        <v>22008</v>
      </c>
      <c r="R270" s="48">
        <f t="shared" si="15"/>
        <v>18787.91</v>
      </c>
    </row>
    <row r="271" spans="1:18">
      <c r="A271" t="s">
        <v>707</v>
      </c>
      <c r="B271" t="s">
        <v>1940</v>
      </c>
      <c r="C271" s="48">
        <v>22551.8</v>
      </c>
      <c r="D271" s="48">
        <v>629.01</v>
      </c>
      <c r="E271" s="48">
        <v>0</v>
      </c>
      <c r="F271" s="48">
        <v>0</v>
      </c>
      <c r="G271" s="48">
        <v>89.78</v>
      </c>
      <c r="H271" s="48">
        <v>743.09</v>
      </c>
      <c r="I271" s="48">
        <v>189.63</v>
      </c>
      <c r="J271" s="48">
        <v>0</v>
      </c>
      <c r="K271" s="48">
        <v>63.21</v>
      </c>
      <c r="L271" s="48">
        <v>884.93</v>
      </c>
      <c r="M271" s="48"/>
      <c r="N271" s="48">
        <f t="shared" si="13"/>
        <v>25151.449999999997</v>
      </c>
      <c r="O271" s="48"/>
      <c r="P271" s="48"/>
      <c r="Q271" s="48" t="str">
        <f t="shared" si="14"/>
        <v>38322</v>
      </c>
      <c r="R271" s="48">
        <f t="shared" si="15"/>
        <v>25151.449999999997</v>
      </c>
    </row>
    <row r="272" spans="1:18">
      <c r="A272" t="s">
        <v>590</v>
      </c>
      <c r="B272" t="s">
        <v>1877</v>
      </c>
      <c r="C272" s="48">
        <v>405899.88</v>
      </c>
      <c r="D272" s="48">
        <v>38011.53</v>
      </c>
      <c r="E272" s="48">
        <v>7725.71</v>
      </c>
      <c r="F272" s="48">
        <v>0</v>
      </c>
      <c r="G272" s="48">
        <v>101.7</v>
      </c>
      <c r="H272" s="48">
        <v>17143.189999999999</v>
      </c>
      <c r="I272" s="48">
        <v>0</v>
      </c>
      <c r="J272" s="48">
        <v>5073.57</v>
      </c>
      <c r="K272" s="48">
        <v>2450.0500000000002</v>
      </c>
      <c r="L272" s="48">
        <v>5733.48</v>
      </c>
      <c r="M272" s="48"/>
      <c r="N272" s="48">
        <f t="shared" si="13"/>
        <v>482139.11000000004</v>
      </c>
      <c r="O272" s="48"/>
      <c r="P272" s="48"/>
      <c r="Q272" s="48" t="str">
        <f t="shared" si="14"/>
        <v>31401</v>
      </c>
      <c r="R272" s="48">
        <f t="shared" si="15"/>
        <v>482139.11000000004</v>
      </c>
    </row>
    <row r="273" spans="1:18">
      <c r="A273" t="s">
        <v>271</v>
      </c>
      <c r="B273" t="s">
        <v>1715</v>
      </c>
      <c r="C273" s="48">
        <v>3088</v>
      </c>
      <c r="D273" s="48">
        <v>0</v>
      </c>
      <c r="E273" s="48">
        <v>0</v>
      </c>
      <c r="F273" s="48">
        <v>0</v>
      </c>
      <c r="G273" s="48">
        <v>90.27</v>
      </c>
      <c r="H273" s="48">
        <v>0</v>
      </c>
      <c r="I273" s="48">
        <v>0</v>
      </c>
      <c r="J273" s="48">
        <v>0</v>
      </c>
      <c r="K273" s="48">
        <v>4.63</v>
      </c>
      <c r="L273" s="48">
        <v>0</v>
      </c>
      <c r="M273" s="48"/>
      <c r="N273" s="48">
        <f t="shared" si="13"/>
        <v>3182.9</v>
      </c>
      <c r="O273" s="48"/>
      <c r="P273" s="48"/>
      <c r="Q273" s="48" t="str">
        <f t="shared" si="14"/>
        <v>11054</v>
      </c>
      <c r="R273" s="48">
        <f t="shared" si="15"/>
        <v>3182.9</v>
      </c>
    </row>
    <row r="274" spans="1:18">
      <c r="A274" t="s">
        <v>231</v>
      </c>
      <c r="B274" t="s">
        <v>1695</v>
      </c>
      <c r="C274" s="48">
        <v>2189.19</v>
      </c>
      <c r="D274" s="48">
        <v>0</v>
      </c>
      <c r="E274" s="48">
        <v>0</v>
      </c>
      <c r="F274" s="48">
        <v>0</v>
      </c>
      <c r="G274" s="48">
        <v>79.38</v>
      </c>
      <c r="H274" s="48">
        <v>6143.63</v>
      </c>
      <c r="I274" s="48">
        <v>111.01</v>
      </c>
      <c r="J274" s="48">
        <v>0</v>
      </c>
      <c r="K274" s="48">
        <v>0</v>
      </c>
      <c r="L274" s="48">
        <v>863.35</v>
      </c>
      <c r="M274" s="48"/>
      <c r="N274" s="48">
        <f t="shared" si="13"/>
        <v>9386.5600000000013</v>
      </c>
      <c r="O274" s="48"/>
      <c r="P274" s="48"/>
      <c r="Q274" s="48" t="str">
        <f t="shared" si="14"/>
        <v>07035</v>
      </c>
      <c r="R274" s="48">
        <f t="shared" si="15"/>
        <v>9386.5600000000013</v>
      </c>
    </row>
    <row r="275" spans="1:18">
      <c r="A275" t="s">
        <v>191</v>
      </c>
      <c r="B275" t="s">
        <v>1673</v>
      </c>
      <c r="C275" s="48">
        <v>3550.5</v>
      </c>
      <c r="D275" s="48">
        <v>0</v>
      </c>
      <c r="E275" s="48">
        <v>0</v>
      </c>
      <c r="F275" s="48">
        <v>0</v>
      </c>
      <c r="G275" s="48">
        <v>94.95</v>
      </c>
      <c r="H275" s="48">
        <v>0</v>
      </c>
      <c r="I275" s="48">
        <v>0</v>
      </c>
      <c r="J275" s="48">
        <v>0</v>
      </c>
      <c r="K275" s="48">
        <v>0</v>
      </c>
      <c r="L275" s="48">
        <v>0</v>
      </c>
      <c r="M275" s="48"/>
      <c r="N275" s="48">
        <f t="shared" si="13"/>
        <v>3645.45</v>
      </c>
      <c r="O275" s="48"/>
      <c r="P275" s="48"/>
      <c r="Q275" s="48" t="str">
        <f t="shared" si="14"/>
        <v>04069</v>
      </c>
      <c r="R275" s="48">
        <f t="shared" si="15"/>
        <v>3645.45</v>
      </c>
    </row>
    <row r="276" spans="1:18">
      <c r="A276" t="s">
        <v>505</v>
      </c>
      <c r="B276" t="s">
        <v>1835</v>
      </c>
      <c r="C276" s="48">
        <v>239209.25</v>
      </c>
      <c r="D276" s="48">
        <v>21407.87</v>
      </c>
      <c r="E276" s="48">
        <v>3126.2</v>
      </c>
      <c r="F276" s="48">
        <v>0</v>
      </c>
      <c r="G276" s="48">
        <v>92.62</v>
      </c>
      <c r="H276" s="48">
        <v>8842.59</v>
      </c>
      <c r="I276" s="48">
        <v>89.88</v>
      </c>
      <c r="J276" s="48">
        <v>3175.23</v>
      </c>
      <c r="K276" s="48">
        <v>1392.33</v>
      </c>
      <c r="L276" s="48">
        <v>4886.22</v>
      </c>
      <c r="M276" s="48"/>
      <c r="N276" s="48">
        <f t="shared" si="13"/>
        <v>282222.19</v>
      </c>
      <c r="O276" s="48"/>
      <c r="P276" s="48"/>
      <c r="Q276" s="48" t="str">
        <f t="shared" si="14"/>
        <v>27001</v>
      </c>
      <c r="R276" s="48">
        <f t="shared" si="15"/>
        <v>282222.19</v>
      </c>
    </row>
    <row r="277" spans="1:18">
      <c r="A277" t="s">
        <v>699</v>
      </c>
      <c r="B277" t="s">
        <v>1936</v>
      </c>
      <c r="C277" s="48">
        <v>5900.34</v>
      </c>
      <c r="D277" s="48">
        <v>0</v>
      </c>
      <c r="E277" s="48">
        <v>0</v>
      </c>
      <c r="F277" s="48">
        <v>0</v>
      </c>
      <c r="G277" s="48">
        <v>98.75</v>
      </c>
      <c r="H277" s="48">
        <v>0</v>
      </c>
      <c r="I277" s="48">
        <v>0</v>
      </c>
      <c r="J277" s="48">
        <v>0</v>
      </c>
      <c r="K277" s="48">
        <v>0</v>
      </c>
      <c r="L277" s="48">
        <v>213.24</v>
      </c>
      <c r="M277" s="48"/>
      <c r="N277" s="48">
        <f t="shared" si="13"/>
        <v>6212.33</v>
      </c>
      <c r="O277" s="48"/>
      <c r="P277" s="48"/>
      <c r="Q277" s="48" t="str">
        <f t="shared" si="14"/>
        <v>38304</v>
      </c>
      <c r="R277" s="48">
        <f t="shared" si="15"/>
        <v>6212.33</v>
      </c>
    </row>
    <row r="278" spans="1:18">
      <c r="A278" t="s">
        <v>562</v>
      </c>
      <c r="B278" t="s">
        <v>1863</v>
      </c>
      <c r="C278" s="48">
        <v>50206.59</v>
      </c>
      <c r="D278" s="48">
        <v>4361.43</v>
      </c>
      <c r="E278" s="48">
        <v>834.05</v>
      </c>
      <c r="F278" s="48">
        <v>0</v>
      </c>
      <c r="G278" s="48">
        <v>86.28</v>
      </c>
      <c r="H278" s="48">
        <v>3752.47</v>
      </c>
      <c r="I278" s="48">
        <v>3314.62</v>
      </c>
      <c r="J278" s="48">
        <v>360.76</v>
      </c>
      <c r="K278" s="48">
        <v>288.29000000000002</v>
      </c>
      <c r="L278" s="48">
        <v>1725.15</v>
      </c>
      <c r="M278" s="48"/>
      <c r="N278" s="48">
        <f t="shared" si="13"/>
        <v>64929.640000000007</v>
      </c>
      <c r="O278" s="48"/>
      <c r="P278" s="48"/>
      <c r="Q278" s="48" t="str">
        <f t="shared" si="14"/>
        <v>30303</v>
      </c>
      <c r="R278" s="48">
        <f t="shared" si="15"/>
        <v>64929.640000000007</v>
      </c>
    </row>
    <row r="279" spans="1:18">
      <c r="A279" t="s">
        <v>584</v>
      </c>
      <c r="B279" t="s">
        <v>1874</v>
      </c>
      <c r="C279" s="48">
        <v>189627.02</v>
      </c>
      <c r="D279" s="48">
        <v>15361.25</v>
      </c>
      <c r="E279" s="48">
        <v>1151.55</v>
      </c>
      <c r="F279" s="48">
        <v>0</v>
      </c>
      <c r="G279" s="48">
        <v>105.82</v>
      </c>
      <c r="H279" s="48">
        <v>14013.23</v>
      </c>
      <c r="I279" s="48">
        <v>11071.6</v>
      </c>
      <c r="J279" s="48">
        <v>8673.9</v>
      </c>
      <c r="K279" s="48">
        <v>1071.5</v>
      </c>
      <c r="L279" s="48">
        <v>7247.66</v>
      </c>
      <c r="M279" s="48"/>
      <c r="N279" s="48">
        <f t="shared" si="13"/>
        <v>248323.53</v>
      </c>
      <c r="O279" s="48"/>
      <c r="P279" s="48"/>
      <c r="Q279" s="48" t="str">
        <f t="shared" si="14"/>
        <v>31311</v>
      </c>
      <c r="R279" s="48">
        <f t="shared" si="15"/>
        <v>248323.53</v>
      </c>
    </row>
    <row r="280" spans="1:18">
      <c r="A280" t="s">
        <v>630</v>
      </c>
      <c r="B280" t="s">
        <v>1898</v>
      </c>
      <c r="C280" s="48">
        <v>9256.2900000000009</v>
      </c>
      <c r="D280" s="48">
        <v>0</v>
      </c>
      <c r="E280" s="48">
        <v>0</v>
      </c>
      <c r="F280" s="48">
        <v>0</v>
      </c>
      <c r="G280" s="48">
        <v>91.92</v>
      </c>
      <c r="H280" s="48">
        <v>824.81</v>
      </c>
      <c r="I280" s="48">
        <v>433.21</v>
      </c>
      <c r="J280" s="48">
        <v>0</v>
      </c>
      <c r="K280" s="48">
        <v>40.090000000000003</v>
      </c>
      <c r="L280" s="48">
        <v>0</v>
      </c>
      <c r="M280" s="48"/>
      <c r="N280" s="48">
        <f t="shared" si="13"/>
        <v>10646.32</v>
      </c>
      <c r="O280" s="48"/>
      <c r="P280" s="48"/>
      <c r="Q280" s="48" t="str">
        <f t="shared" si="14"/>
        <v>33202</v>
      </c>
      <c r="R280" s="48">
        <f t="shared" si="15"/>
        <v>10646.32</v>
      </c>
    </row>
    <row r="281" spans="1:18">
      <c r="A281" t="s">
        <v>1476</v>
      </c>
      <c r="B281" t="s">
        <v>1525</v>
      </c>
      <c r="C281" s="48">
        <v>54066.35</v>
      </c>
      <c r="D281" s="48">
        <v>0</v>
      </c>
      <c r="E281" s="48">
        <v>0</v>
      </c>
      <c r="F281" s="48">
        <v>0</v>
      </c>
      <c r="G281" s="48">
        <v>91.22</v>
      </c>
      <c r="H281" s="48">
        <v>2797.92</v>
      </c>
      <c r="I281" s="48">
        <v>0</v>
      </c>
      <c r="J281" s="48">
        <v>3381.87</v>
      </c>
      <c r="K281" s="48">
        <v>322</v>
      </c>
      <c r="L281" s="48">
        <v>0</v>
      </c>
      <c r="M281" s="48"/>
      <c r="N281" s="48">
        <f t="shared" si="13"/>
        <v>60659.360000000001</v>
      </c>
      <c r="O281" s="48"/>
      <c r="P281" s="48"/>
      <c r="Q281" s="48" t="str">
        <f t="shared" si="14"/>
        <v>17905</v>
      </c>
      <c r="R281" s="48">
        <f t="shared" si="15"/>
        <v>60659.360000000001</v>
      </c>
    </row>
    <row r="282" spans="1:18">
      <c r="A282" s="627" t="s">
        <v>1426</v>
      </c>
      <c r="B282" s="525" t="s">
        <v>1966</v>
      </c>
      <c r="C282" s="48"/>
      <c r="D282" s="48"/>
      <c r="E282" s="48"/>
      <c r="F282" s="48"/>
      <c r="G282" s="48"/>
      <c r="H282" s="48"/>
      <c r="I282" s="48"/>
      <c r="J282" s="48"/>
      <c r="K282" s="48"/>
      <c r="L282" s="48"/>
      <c r="M282" s="48"/>
      <c r="N282" s="48"/>
      <c r="O282" s="48"/>
      <c r="P282" s="48"/>
      <c r="Q282" s="48"/>
      <c r="R282" s="48"/>
    </row>
    <row r="283" spans="1:18">
      <c r="A283" t="s">
        <v>1427</v>
      </c>
      <c r="B283" t="s">
        <v>1959</v>
      </c>
      <c r="C283" s="48">
        <v>19792.8</v>
      </c>
      <c r="D283" s="48">
        <v>0</v>
      </c>
      <c r="E283" s="48">
        <v>0</v>
      </c>
      <c r="F283" s="48">
        <v>0</v>
      </c>
      <c r="G283" s="48">
        <v>92.57</v>
      </c>
      <c r="H283" s="48">
        <v>967.81</v>
      </c>
      <c r="I283" s="48">
        <v>0</v>
      </c>
      <c r="J283" s="48">
        <v>727.67</v>
      </c>
      <c r="K283" s="48">
        <v>83.68</v>
      </c>
      <c r="L283" s="48">
        <v>0</v>
      </c>
      <c r="M283" s="48"/>
      <c r="N283" s="48">
        <f t="shared" ref="N283:N314" si="16">SUM(C283:M283)</f>
        <v>21664.53</v>
      </c>
      <c r="O283" s="48"/>
      <c r="P283" s="48"/>
      <c r="Q283" s="48" t="str">
        <f t="shared" ref="Q283:Q314" si="17">TEXT(A283, "00000")</f>
        <v>17902</v>
      </c>
      <c r="R283" s="48">
        <f t="shared" ref="R283:R314" si="18">N283</f>
        <v>21664.53</v>
      </c>
    </row>
    <row r="284" spans="1:18">
      <c r="A284" t="s">
        <v>515</v>
      </c>
      <c r="B284" t="s">
        <v>2396</v>
      </c>
      <c r="C284" s="48">
        <v>907769.18</v>
      </c>
      <c r="D284" s="48">
        <v>56920.33</v>
      </c>
      <c r="E284" s="48">
        <v>10605.33</v>
      </c>
      <c r="F284" s="48">
        <v>0</v>
      </c>
      <c r="G284" s="48">
        <v>98.01</v>
      </c>
      <c r="H284" s="48">
        <v>38166.75</v>
      </c>
      <c r="I284" s="48">
        <v>2189.44</v>
      </c>
      <c r="J284" s="48">
        <v>19157.62</v>
      </c>
      <c r="K284" s="48">
        <v>5205.97</v>
      </c>
      <c r="L284" s="48">
        <v>0</v>
      </c>
      <c r="M284" s="48"/>
      <c r="N284" s="48">
        <f t="shared" si="16"/>
        <v>1040112.6299999999</v>
      </c>
      <c r="O284" s="48"/>
      <c r="P284" s="48"/>
      <c r="Q284" s="48" t="str">
        <f t="shared" si="17"/>
        <v>27320</v>
      </c>
      <c r="R284" s="48">
        <f t="shared" si="18"/>
        <v>1040112.6299999999</v>
      </c>
    </row>
    <row r="285" spans="1:18">
      <c r="A285" t="s">
        <v>724</v>
      </c>
      <c r="B285" t="s">
        <v>1949</v>
      </c>
      <c r="C285" s="48">
        <v>458039.92</v>
      </c>
      <c r="D285" s="48">
        <v>30503.83</v>
      </c>
      <c r="E285" s="48">
        <v>3382.46</v>
      </c>
      <c r="F285" s="48">
        <v>0</v>
      </c>
      <c r="G285" s="48">
        <v>87.97</v>
      </c>
      <c r="H285" s="48">
        <v>55382.03</v>
      </c>
      <c r="I285" s="48">
        <v>27050.45</v>
      </c>
      <c r="J285" s="48">
        <v>46691.55</v>
      </c>
      <c r="K285" s="48">
        <v>2546.87</v>
      </c>
      <c r="L285" s="48">
        <v>3885.05</v>
      </c>
      <c r="M285" s="48"/>
      <c r="N285" s="48">
        <f t="shared" si="16"/>
        <v>627570.13</v>
      </c>
      <c r="O285" s="48"/>
      <c r="P285" s="48"/>
      <c r="Q285" s="48" t="str">
        <f t="shared" si="17"/>
        <v>39201</v>
      </c>
      <c r="R285" s="48">
        <f t="shared" si="18"/>
        <v>627570.13</v>
      </c>
    </row>
    <row r="286" spans="1:18">
      <c r="A286" t="s">
        <v>1177</v>
      </c>
      <c r="B286" t="s">
        <v>1774</v>
      </c>
      <c r="C286" s="48">
        <v>22865.42</v>
      </c>
      <c r="D286" s="48">
        <v>809.54</v>
      </c>
      <c r="E286" s="48">
        <v>125.52</v>
      </c>
      <c r="F286" s="48">
        <v>0</v>
      </c>
      <c r="G286" s="48">
        <v>91.45</v>
      </c>
      <c r="H286" s="48">
        <v>594.87</v>
      </c>
      <c r="I286" s="48">
        <v>403.87</v>
      </c>
      <c r="J286" s="48">
        <v>0</v>
      </c>
      <c r="K286" s="48">
        <v>41.84</v>
      </c>
      <c r="L286" s="48">
        <v>0</v>
      </c>
      <c r="M286" s="48"/>
      <c r="N286" s="48">
        <f t="shared" si="16"/>
        <v>24932.51</v>
      </c>
      <c r="O286" s="48"/>
      <c r="P286" s="48"/>
      <c r="Q286" s="48" t="str">
        <f t="shared" si="17"/>
        <v>18902</v>
      </c>
      <c r="R286" s="48">
        <f t="shared" si="18"/>
        <v>24932.51</v>
      </c>
    </row>
    <row r="287" spans="1:18">
      <c r="A287" t="s">
        <v>509</v>
      </c>
      <c r="B287" t="s">
        <v>1837</v>
      </c>
      <c r="C287" s="48">
        <v>2255826.9900000002</v>
      </c>
      <c r="D287" s="48">
        <v>141167.25</v>
      </c>
      <c r="E287" s="48">
        <v>29476.32</v>
      </c>
      <c r="F287" s="48">
        <v>4074.99</v>
      </c>
      <c r="G287" s="48">
        <v>97.19</v>
      </c>
      <c r="H287" s="48">
        <v>176365.83</v>
      </c>
      <c r="I287" s="48">
        <v>90792.8</v>
      </c>
      <c r="J287" s="48">
        <v>104014.07</v>
      </c>
      <c r="K287" s="48">
        <v>13254.08</v>
      </c>
      <c r="L287" s="48">
        <v>76233.350000000006</v>
      </c>
      <c r="M287" s="48"/>
      <c r="N287" s="48">
        <f t="shared" si="16"/>
        <v>2891302.87</v>
      </c>
      <c r="O287" s="48"/>
      <c r="P287" s="48"/>
      <c r="Q287" s="48" t="str">
        <f t="shared" si="17"/>
        <v>27010</v>
      </c>
      <c r="R287" s="48">
        <f t="shared" si="18"/>
        <v>2891302.87</v>
      </c>
    </row>
    <row r="288" spans="1:18">
      <c r="A288" t="s">
        <v>309</v>
      </c>
      <c r="B288" t="s">
        <v>1734</v>
      </c>
      <c r="C288" s="48">
        <v>24824.25</v>
      </c>
      <c r="D288" s="48">
        <v>206.58</v>
      </c>
      <c r="E288" s="48">
        <v>0</v>
      </c>
      <c r="F288" s="48">
        <v>0</v>
      </c>
      <c r="G288" s="48">
        <v>86.66</v>
      </c>
      <c r="H288" s="48">
        <v>1429.14</v>
      </c>
      <c r="I288" s="48">
        <v>847.93</v>
      </c>
      <c r="J288" s="48">
        <v>0</v>
      </c>
      <c r="K288" s="48">
        <v>0</v>
      </c>
      <c r="L288" s="48">
        <v>0</v>
      </c>
      <c r="M288" s="48"/>
      <c r="N288" s="48">
        <f t="shared" si="16"/>
        <v>27394.560000000001</v>
      </c>
      <c r="O288" s="48"/>
      <c r="P288" s="48"/>
      <c r="Q288" s="48" t="str">
        <f t="shared" si="17"/>
        <v>14077</v>
      </c>
      <c r="R288" s="48">
        <f t="shared" si="18"/>
        <v>27394.560000000001</v>
      </c>
    </row>
    <row r="289" spans="1:18">
      <c r="A289" t="s">
        <v>361</v>
      </c>
      <c r="B289" t="s">
        <v>1761</v>
      </c>
      <c r="C289" s="48">
        <v>845624.6</v>
      </c>
      <c r="D289" s="48">
        <v>54048.35</v>
      </c>
      <c r="E289" s="48">
        <v>4252.62</v>
      </c>
      <c r="F289" s="48">
        <v>0</v>
      </c>
      <c r="G289" s="48">
        <v>105.92</v>
      </c>
      <c r="H289" s="48">
        <v>20864.36</v>
      </c>
      <c r="I289" s="48">
        <v>0</v>
      </c>
      <c r="J289" s="48">
        <v>17328.349999999999</v>
      </c>
      <c r="K289" s="48">
        <v>4828.16</v>
      </c>
      <c r="L289" s="48">
        <v>2187.44</v>
      </c>
      <c r="M289" s="48"/>
      <c r="N289" s="48">
        <f t="shared" si="16"/>
        <v>949239.79999999993</v>
      </c>
      <c r="O289" s="48"/>
      <c r="P289" s="48"/>
      <c r="Q289" s="48" t="str">
        <f t="shared" si="17"/>
        <v>17409</v>
      </c>
      <c r="R289" s="48">
        <f t="shared" si="18"/>
        <v>949239.79999999993</v>
      </c>
    </row>
    <row r="290" spans="1:18">
      <c r="A290" t="s">
        <v>689</v>
      </c>
      <c r="B290" t="s">
        <v>1931</v>
      </c>
      <c r="C290" s="48">
        <v>20670.939999999999</v>
      </c>
      <c r="D290" s="48">
        <v>2378.8200000000002</v>
      </c>
      <c r="E290" s="48">
        <v>1026.76</v>
      </c>
      <c r="F290" s="48">
        <v>0</v>
      </c>
      <c r="G290" s="48">
        <v>87.2</v>
      </c>
      <c r="H290" s="48">
        <v>1250.31</v>
      </c>
      <c r="I290" s="48">
        <v>874.14</v>
      </c>
      <c r="J290" s="48">
        <v>40.090000000000003</v>
      </c>
      <c r="K290" s="48">
        <v>83.25</v>
      </c>
      <c r="L290" s="48">
        <v>712.26</v>
      </c>
      <c r="M290" s="48"/>
      <c r="N290" s="48">
        <f t="shared" si="16"/>
        <v>27123.769999999997</v>
      </c>
      <c r="O290" s="48"/>
      <c r="P290" s="48"/>
      <c r="Q290" s="48" t="str">
        <f t="shared" si="17"/>
        <v>38265</v>
      </c>
      <c r="R290" s="48">
        <f t="shared" si="18"/>
        <v>27123.769999999997</v>
      </c>
    </row>
    <row r="291" spans="1:18">
      <c r="A291" t="s">
        <v>654</v>
      </c>
      <c r="B291" t="s">
        <v>1911</v>
      </c>
      <c r="C291" s="48">
        <v>94739.77</v>
      </c>
      <c r="D291" s="48">
        <v>8001.36</v>
      </c>
      <c r="E291" s="48">
        <v>2583.87</v>
      </c>
      <c r="F291" s="48">
        <v>0</v>
      </c>
      <c r="G291" s="48">
        <v>88.71</v>
      </c>
      <c r="H291" s="48">
        <v>6189.88</v>
      </c>
      <c r="I291" s="48">
        <v>3960.6</v>
      </c>
      <c r="J291" s="48">
        <v>587.38</v>
      </c>
      <c r="K291" s="48">
        <v>542.67999999999995</v>
      </c>
      <c r="L291" s="48">
        <v>1805.31</v>
      </c>
      <c r="M291" s="48"/>
      <c r="N291" s="48">
        <f t="shared" si="16"/>
        <v>118499.56000000001</v>
      </c>
      <c r="O291" s="48"/>
      <c r="P291" s="48"/>
      <c r="Q291" s="48" t="str">
        <f t="shared" si="17"/>
        <v>34402</v>
      </c>
      <c r="R291" s="48">
        <f t="shared" si="18"/>
        <v>118499.56000000001</v>
      </c>
    </row>
    <row r="292" spans="1:18">
      <c r="A292" t="s">
        <v>388</v>
      </c>
      <c r="B292" t="s">
        <v>1777</v>
      </c>
      <c r="C292" s="48">
        <v>30410.62</v>
      </c>
      <c r="D292" s="48">
        <v>2513.38</v>
      </c>
      <c r="E292" s="48">
        <v>1880.95</v>
      </c>
      <c r="F292" s="48">
        <v>0</v>
      </c>
      <c r="G292" s="48">
        <v>97.1</v>
      </c>
      <c r="H292" s="48">
        <v>1253.42</v>
      </c>
      <c r="I292" s="48">
        <v>0</v>
      </c>
      <c r="J292" s="48">
        <v>158.51</v>
      </c>
      <c r="K292" s="48">
        <v>116.02</v>
      </c>
      <c r="L292" s="48">
        <v>2070.5100000000002</v>
      </c>
      <c r="M292" s="48"/>
      <c r="N292" s="48">
        <f t="shared" si="16"/>
        <v>38500.509999999995</v>
      </c>
      <c r="O292" s="48"/>
      <c r="P292" s="48"/>
      <c r="Q292" s="48" t="str">
        <f t="shared" si="17"/>
        <v>19400</v>
      </c>
      <c r="R292" s="48">
        <f t="shared" si="18"/>
        <v>38500.509999999995</v>
      </c>
    </row>
    <row r="293" spans="1:18">
      <c r="A293" t="s">
        <v>430</v>
      </c>
      <c r="B293" t="s">
        <v>1798</v>
      </c>
      <c r="C293" s="48">
        <v>69066.05</v>
      </c>
      <c r="D293" s="48">
        <v>5730.45</v>
      </c>
      <c r="E293" s="48">
        <v>2132.15</v>
      </c>
      <c r="F293" s="48">
        <v>0</v>
      </c>
      <c r="G293" s="48">
        <v>88.87</v>
      </c>
      <c r="H293" s="48">
        <v>4702.1400000000003</v>
      </c>
      <c r="I293" s="48">
        <v>2986.25</v>
      </c>
      <c r="J293" s="48">
        <v>222</v>
      </c>
      <c r="K293" s="48">
        <v>407</v>
      </c>
      <c r="L293" s="48">
        <v>0</v>
      </c>
      <c r="M293" s="48"/>
      <c r="N293" s="48">
        <f t="shared" si="16"/>
        <v>85334.909999999989</v>
      </c>
      <c r="O293" s="48"/>
      <c r="P293" s="48"/>
      <c r="Q293" s="48" t="str">
        <f t="shared" si="17"/>
        <v>21237</v>
      </c>
      <c r="R293" s="48">
        <f t="shared" si="18"/>
        <v>85334.909999999989</v>
      </c>
    </row>
    <row r="294" spans="1:18">
      <c r="A294" t="s">
        <v>484</v>
      </c>
      <c r="B294" t="s">
        <v>1824</v>
      </c>
      <c r="C294" s="48">
        <v>74924.460000000006</v>
      </c>
      <c r="D294" s="48">
        <v>4165.6400000000003</v>
      </c>
      <c r="E294" s="48">
        <v>502.59</v>
      </c>
      <c r="F294" s="48">
        <v>0</v>
      </c>
      <c r="G294" s="48">
        <v>87.65</v>
      </c>
      <c r="H294" s="48">
        <v>7321.47</v>
      </c>
      <c r="I294" s="48">
        <v>4771.53</v>
      </c>
      <c r="J294" s="48">
        <v>3118.83</v>
      </c>
      <c r="K294" s="48">
        <v>457.88</v>
      </c>
      <c r="L294" s="48">
        <v>0</v>
      </c>
      <c r="M294" s="48"/>
      <c r="N294" s="48">
        <f t="shared" si="16"/>
        <v>95350.05</v>
      </c>
      <c r="O294" s="48"/>
      <c r="P294" s="48"/>
      <c r="Q294" s="48" t="str">
        <f t="shared" si="17"/>
        <v>24404</v>
      </c>
      <c r="R294" s="48">
        <f t="shared" si="18"/>
        <v>95350.05</v>
      </c>
    </row>
    <row r="295" spans="1:18">
      <c r="A295" t="s">
        <v>726</v>
      </c>
      <c r="B295" t="s">
        <v>1950</v>
      </c>
      <c r="C295" s="48">
        <v>206803.48</v>
      </c>
      <c r="D295" s="48">
        <v>47013.75</v>
      </c>
      <c r="E295" s="48">
        <v>25038.55</v>
      </c>
      <c r="F295" s="48">
        <v>0</v>
      </c>
      <c r="G295" s="48">
        <v>86.9</v>
      </c>
      <c r="H295" s="48">
        <v>35707.019999999997</v>
      </c>
      <c r="I295" s="48">
        <v>14983.66</v>
      </c>
      <c r="J295" s="48">
        <v>28558.22</v>
      </c>
      <c r="K295" s="48">
        <v>1620.32</v>
      </c>
      <c r="L295" s="48">
        <v>0</v>
      </c>
      <c r="M295" s="48"/>
      <c r="N295" s="48">
        <f t="shared" si="16"/>
        <v>359811.90000000008</v>
      </c>
      <c r="O295" s="48"/>
      <c r="P295" s="48"/>
      <c r="Q295" s="48" t="str">
        <f t="shared" si="17"/>
        <v>39202</v>
      </c>
      <c r="R295" s="48">
        <f t="shared" si="18"/>
        <v>359811.90000000008</v>
      </c>
    </row>
    <row r="296" spans="1:18">
      <c r="A296" t="s">
        <v>664</v>
      </c>
      <c r="B296" t="s">
        <v>1917</v>
      </c>
      <c r="C296" s="48">
        <v>22166.38</v>
      </c>
      <c r="D296" s="48">
        <v>1262.6400000000001</v>
      </c>
      <c r="E296" s="48">
        <v>175.75</v>
      </c>
      <c r="F296" s="48">
        <v>0</v>
      </c>
      <c r="G296" s="48">
        <v>87.98</v>
      </c>
      <c r="H296" s="48">
        <v>1355.14</v>
      </c>
      <c r="I296" s="48">
        <v>1122.3499999999999</v>
      </c>
      <c r="J296" s="48">
        <v>778.55</v>
      </c>
      <c r="K296" s="48">
        <v>0</v>
      </c>
      <c r="L296" s="48">
        <v>1598.73</v>
      </c>
      <c r="M296" s="48"/>
      <c r="N296" s="48">
        <f t="shared" si="16"/>
        <v>28547.519999999997</v>
      </c>
      <c r="O296" s="48"/>
      <c r="P296" s="48"/>
      <c r="Q296" s="48" t="str">
        <f t="shared" si="17"/>
        <v>36300</v>
      </c>
      <c r="R296" s="48">
        <f t="shared" si="18"/>
        <v>28547.519999999997</v>
      </c>
    </row>
    <row r="297" spans="1:18">
      <c r="A297" t="s">
        <v>235</v>
      </c>
      <c r="B297" t="s">
        <v>1697</v>
      </c>
      <c r="C297" s="48">
        <v>54845.52</v>
      </c>
      <c r="D297" s="48">
        <v>3380.92</v>
      </c>
      <c r="E297" s="48">
        <v>1217.93</v>
      </c>
      <c r="F297" s="48">
        <v>0</v>
      </c>
      <c r="G297" s="48">
        <v>88.11</v>
      </c>
      <c r="H297" s="48">
        <v>3083.37</v>
      </c>
      <c r="I297" s="48">
        <v>0</v>
      </c>
      <c r="J297" s="48">
        <v>0</v>
      </c>
      <c r="K297" s="48">
        <v>299.08999999999997</v>
      </c>
      <c r="L297" s="48">
        <v>0</v>
      </c>
      <c r="M297" s="48"/>
      <c r="N297" s="48">
        <f t="shared" si="16"/>
        <v>62914.939999999995</v>
      </c>
      <c r="O297" s="48"/>
      <c r="P297" s="48"/>
      <c r="Q297" s="48" t="str">
        <f t="shared" si="17"/>
        <v>08130</v>
      </c>
      <c r="R297" s="48">
        <f t="shared" si="18"/>
        <v>62914.939999999995</v>
      </c>
    </row>
    <row r="298" spans="1:18">
      <c r="A298" t="s">
        <v>402</v>
      </c>
      <c r="B298" t="s">
        <v>1784</v>
      </c>
      <c r="C298" s="48">
        <v>26728.240000000002</v>
      </c>
      <c r="D298" s="48">
        <v>229.71</v>
      </c>
      <c r="E298" s="48">
        <v>0</v>
      </c>
      <c r="F298" s="48">
        <v>0</v>
      </c>
      <c r="G298" s="48">
        <v>89.73</v>
      </c>
      <c r="H298" s="48">
        <v>823.26</v>
      </c>
      <c r="I298" s="48">
        <v>0</v>
      </c>
      <c r="J298" s="48">
        <v>265.17</v>
      </c>
      <c r="K298" s="48">
        <v>89.42</v>
      </c>
      <c r="L298" s="48">
        <v>0</v>
      </c>
      <c r="M298" s="48"/>
      <c r="N298" s="48">
        <f t="shared" si="16"/>
        <v>28225.529999999995</v>
      </c>
      <c r="O298" s="48"/>
      <c r="P298" s="48"/>
      <c r="Q298" s="48" t="str">
        <f t="shared" si="17"/>
        <v>20400</v>
      </c>
      <c r="R298" s="48">
        <f t="shared" si="18"/>
        <v>28225.529999999995</v>
      </c>
    </row>
    <row r="299" spans="1:18">
      <c r="A299" t="s">
        <v>356</v>
      </c>
      <c r="B299" t="s">
        <v>1758</v>
      </c>
      <c r="C299" s="48">
        <v>246720.51</v>
      </c>
      <c r="D299" s="48">
        <v>18606.68</v>
      </c>
      <c r="E299" s="48">
        <v>2062.9699999999998</v>
      </c>
      <c r="F299" s="48">
        <v>0</v>
      </c>
      <c r="G299" s="48">
        <v>104.54</v>
      </c>
      <c r="H299" s="48">
        <v>24124.29</v>
      </c>
      <c r="I299" s="48">
        <v>14777.29</v>
      </c>
      <c r="J299" s="48">
        <v>37659.07</v>
      </c>
      <c r="K299" s="48">
        <v>1373.49</v>
      </c>
      <c r="L299" s="48">
        <v>0</v>
      </c>
      <c r="M299" s="48"/>
      <c r="N299" s="48">
        <f t="shared" si="16"/>
        <v>345428.83999999991</v>
      </c>
      <c r="O299" s="48"/>
      <c r="P299" s="48"/>
      <c r="Q299" s="48" t="str">
        <f t="shared" si="17"/>
        <v>17406</v>
      </c>
      <c r="R299" s="48">
        <f t="shared" si="18"/>
        <v>345428.83999999991</v>
      </c>
    </row>
    <row r="300" spans="1:18">
      <c r="A300" t="s">
        <v>644</v>
      </c>
      <c r="B300" t="s">
        <v>1906</v>
      </c>
      <c r="C300" s="48">
        <v>445892.98</v>
      </c>
      <c r="D300" s="48">
        <v>34095.96</v>
      </c>
      <c r="E300" s="48">
        <v>16984.77</v>
      </c>
      <c r="F300" s="48">
        <v>66411.259999999995</v>
      </c>
      <c r="G300" s="48">
        <v>86.51</v>
      </c>
      <c r="H300" s="48">
        <v>21925.88</v>
      </c>
      <c r="I300" s="48">
        <v>721.51</v>
      </c>
      <c r="J300" s="48">
        <v>4330.6000000000004</v>
      </c>
      <c r="K300" s="48">
        <v>2963.12</v>
      </c>
      <c r="L300" s="48">
        <v>1874.7</v>
      </c>
      <c r="M300" s="48"/>
      <c r="N300" s="48">
        <f t="shared" si="16"/>
        <v>595287.28999999992</v>
      </c>
      <c r="O300" s="48"/>
      <c r="P300" s="48"/>
      <c r="Q300" s="48" t="str">
        <f t="shared" si="17"/>
        <v>34033</v>
      </c>
      <c r="R300" s="48">
        <f t="shared" si="18"/>
        <v>595287.28999999992</v>
      </c>
    </row>
    <row r="301" spans="1:18">
      <c r="A301" t="s">
        <v>711</v>
      </c>
      <c r="B301" t="s">
        <v>1942</v>
      </c>
      <c r="C301" s="48">
        <v>46597.51</v>
      </c>
      <c r="D301" s="48">
        <v>0</v>
      </c>
      <c r="E301" s="48">
        <v>0</v>
      </c>
      <c r="F301" s="48">
        <v>0</v>
      </c>
      <c r="G301" s="48">
        <v>92.21</v>
      </c>
      <c r="H301" s="48">
        <v>4700.6099999999997</v>
      </c>
      <c r="I301" s="48">
        <v>2442.0300000000002</v>
      </c>
      <c r="J301" s="48">
        <v>2369.5700000000002</v>
      </c>
      <c r="K301" s="48">
        <v>0</v>
      </c>
      <c r="L301" s="48">
        <v>1942.52</v>
      </c>
      <c r="M301" s="48"/>
      <c r="N301" s="48">
        <f t="shared" si="16"/>
        <v>58144.45</v>
      </c>
      <c r="O301" s="48"/>
      <c r="P301" s="48"/>
      <c r="Q301" s="48" t="str">
        <f t="shared" si="17"/>
        <v>39002</v>
      </c>
      <c r="R301" s="48">
        <f t="shared" si="18"/>
        <v>58144.45</v>
      </c>
    </row>
    <row r="302" spans="1:18">
      <c r="A302" t="s">
        <v>513</v>
      </c>
      <c r="B302" t="s">
        <v>1839</v>
      </c>
      <c r="C302" s="48">
        <v>492145.91</v>
      </c>
      <c r="D302" s="48">
        <v>25856.720000000001</v>
      </c>
      <c r="E302" s="48">
        <v>0</v>
      </c>
      <c r="F302" s="48">
        <v>0</v>
      </c>
      <c r="G302" s="48">
        <v>96.59</v>
      </c>
      <c r="H302" s="48">
        <v>23338.37</v>
      </c>
      <c r="I302" s="48">
        <v>0</v>
      </c>
      <c r="J302" s="48">
        <v>12693.48</v>
      </c>
      <c r="K302" s="48">
        <v>2715.07</v>
      </c>
      <c r="L302" s="48">
        <v>4870.5</v>
      </c>
      <c r="M302" s="48"/>
      <c r="N302" s="48">
        <f t="shared" si="16"/>
        <v>561716.64</v>
      </c>
      <c r="O302" s="48"/>
      <c r="P302" s="48"/>
      <c r="Q302" s="48" t="str">
        <f t="shared" si="17"/>
        <v>27083</v>
      </c>
      <c r="R302" s="48">
        <f t="shared" si="18"/>
        <v>561716.64</v>
      </c>
    </row>
    <row r="303" spans="1:18">
      <c r="A303" t="s">
        <v>624</v>
      </c>
      <c r="B303" t="s">
        <v>1895</v>
      </c>
      <c r="C303" s="48">
        <v>31684.76</v>
      </c>
      <c r="D303" s="48">
        <v>0</v>
      </c>
      <c r="E303" s="48">
        <v>0</v>
      </c>
      <c r="F303" s="48">
        <v>0</v>
      </c>
      <c r="G303" s="48">
        <v>82.1</v>
      </c>
      <c r="H303" s="48">
        <v>2479.04</v>
      </c>
      <c r="I303" s="48">
        <v>889.55</v>
      </c>
      <c r="J303" s="48">
        <v>1119.26</v>
      </c>
      <c r="K303" s="48">
        <v>433.21</v>
      </c>
      <c r="L303" s="48">
        <v>1598.73</v>
      </c>
      <c r="M303" s="48"/>
      <c r="N303" s="48">
        <f t="shared" si="16"/>
        <v>38286.65</v>
      </c>
      <c r="O303" s="48"/>
      <c r="P303" s="48"/>
      <c r="Q303" s="48" t="str">
        <f t="shared" si="17"/>
        <v>33070</v>
      </c>
      <c r="R303" s="48">
        <f t="shared" si="18"/>
        <v>38286.65</v>
      </c>
    </row>
    <row r="304" spans="1:18">
      <c r="A304" t="s">
        <v>213</v>
      </c>
      <c r="B304" t="s">
        <v>1685</v>
      </c>
      <c r="C304" s="48">
        <v>1622886.52</v>
      </c>
      <c r="D304" s="48">
        <v>145249.94</v>
      </c>
      <c r="E304" s="48">
        <v>27676.61</v>
      </c>
      <c r="F304" s="48">
        <v>0</v>
      </c>
      <c r="G304" s="48">
        <v>93.35</v>
      </c>
      <c r="H304" s="48">
        <v>109804.4</v>
      </c>
      <c r="I304" s="48">
        <v>58178.75</v>
      </c>
      <c r="J304" s="48">
        <v>97685.25</v>
      </c>
      <c r="K304" s="48">
        <v>9563.27</v>
      </c>
      <c r="L304" s="48">
        <v>29220.93</v>
      </c>
      <c r="M304" s="48"/>
      <c r="N304" s="48">
        <f t="shared" si="16"/>
        <v>2100359.02</v>
      </c>
      <c r="O304" s="48"/>
      <c r="P304" s="48"/>
      <c r="Q304" s="48" t="str">
        <f t="shared" si="17"/>
        <v>06037</v>
      </c>
      <c r="R304" s="48">
        <f t="shared" si="18"/>
        <v>2100359.02</v>
      </c>
    </row>
    <row r="305" spans="1:18">
      <c r="A305" t="s">
        <v>348</v>
      </c>
      <c r="B305" t="s">
        <v>1754</v>
      </c>
      <c r="C305" s="48">
        <v>110273.69</v>
      </c>
      <c r="D305" s="48">
        <v>6538.24</v>
      </c>
      <c r="E305" s="48">
        <v>4259.8599999999997</v>
      </c>
      <c r="F305" s="48">
        <v>0</v>
      </c>
      <c r="G305" s="48">
        <v>97.61</v>
      </c>
      <c r="H305" s="48">
        <v>4431.55</v>
      </c>
      <c r="I305" s="48">
        <v>268.26</v>
      </c>
      <c r="J305" s="48">
        <v>2625.31</v>
      </c>
      <c r="K305" s="48">
        <v>697.46</v>
      </c>
      <c r="L305" s="48">
        <v>0</v>
      </c>
      <c r="M305" s="48"/>
      <c r="N305" s="48">
        <f t="shared" si="16"/>
        <v>129191.98000000001</v>
      </c>
      <c r="O305" s="48"/>
      <c r="P305" s="48"/>
      <c r="Q305" s="48" t="str">
        <f t="shared" si="17"/>
        <v>17402</v>
      </c>
      <c r="R305" s="48">
        <f t="shared" si="18"/>
        <v>129191.98000000001</v>
      </c>
    </row>
    <row r="306" spans="1:18">
      <c r="A306" t="s">
        <v>1503</v>
      </c>
      <c r="B306" t="s">
        <v>1912</v>
      </c>
      <c r="C306" s="48">
        <v>12287.25</v>
      </c>
      <c r="D306" s="48">
        <v>0</v>
      </c>
      <c r="E306" s="48">
        <v>0</v>
      </c>
      <c r="F306" s="48">
        <v>0</v>
      </c>
      <c r="G306" s="48">
        <v>95.34</v>
      </c>
      <c r="H306" s="48">
        <v>1321.23</v>
      </c>
      <c r="I306" s="48">
        <v>610.51</v>
      </c>
      <c r="J306" s="48">
        <v>0</v>
      </c>
      <c r="K306" s="48">
        <v>0</v>
      </c>
      <c r="L306" s="48">
        <v>0</v>
      </c>
      <c r="M306" s="48"/>
      <c r="N306" s="48">
        <f t="shared" si="16"/>
        <v>14314.33</v>
      </c>
      <c r="O306" s="48"/>
      <c r="P306" s="48"/>
      <c r="Q306" s="48" t="str">
        <f t="shared" si="17"/>
        <v>34901</v>
      </c>
      <c r="R306" s="48">
        <f t="shared" si="18"/>
        <v>14314.33</v>
      </c>
    </row>
    <row r="307" spans="1:18">
      <c r="A307" t="s">
        <v>656</v>
      </c>
      <c r="B307" t="s">
        <v>1913</v>
      </c>
      <c r="C307" s="48">
        <v>38527.01</v>
      </c>
      <c r="D307" s="48">
        <v>2127.65</v>
      </c>
      <c r="E307" s="48">
        <v>453.75</v>
      </c>
      <c r="F307" s="48">
        <v>0</v>
      </c>
      <c r="G307" s="48">
        <v>90.02</v>
      </c>
      <c r="H307" s="48">
        <v>2361.7399999999998</v>
      </c>
      <c r="I307" s="48">
        <v>1875.93</v>
      </c>
      <c r="J307" s="48">
        <v>232.49</v>
      </c>
      <c r="K307" s="48">
        <v>184.38</v>
      </c>
      <c r="L307" s="48">
        <v>0</v>
      </c>
      <c r="M307" s="48"/>
      <c r="N307" s="48">
        <f t="shared" si="16"/>
        <v>45852.969999999994</v>
      </c>
      <c r="O307" s="48"/>
      <c r="P307" s="48"/>
      <c r="Q307" s="48" t="str">
        <f t="shared" si="17"/>
        <v>35200</v>
      </c>
      <c r="R307" s="48">
        <f t="shared" si="18"/>
        <v>45852.969999999994</v>
      </c>
    </row>
    <row r="308" spans="1:18">
      <c r="A308" t="s">
        <v>277</v>
      </c>
      <c r="B308" t="s">
        <v>1718</v>
      </c>
      <c r="C308" s="48">
        <v>163147.51999999999</v>
      </c>
      <c r="D308" s="48">
        <v>15122.41</v>
      </c>
      <c r="E308" s="48">
        <v>9183.83</v>
      </c>
      <c r="F308" s="48">
        <v>0</v>
      </c>
      <c r="G308" s="48">
        <v>87.95</v>
      </c>
      <c r="H308" s="48">
        <v>21037.87</v>
      </c>
      <c r="I308" s="48">
        <v>10457.26</v>
      </c>
      <c r="J308" s="48">
        <v>31535.21</v>
      </c>
      <c r="K308" s="48">
        <v>972.81</v>
      </c>
      <c r="L308" s="48">
        <v>3897.39</v>
      </c>
      <c r="M308" s="48"/>
      <c r="N308" s="48">
        <f t="shared" si="16"/>
        <v>255442.25</v>
      </c>
      <c r="O308" s="48"/>
      <c r="P308" s="48"/>
      <c r="Q308" s="48" t="str">
        <f t="shared" si="17"/>
        <v>13073</v>
      </c>
      <c r="R308" s="48">
        <f t="shared" si="18"/>
        <v>255442.25</v>
      </c>
    </row>
    <row r="309" spans="1:18">
      <c r="A309" t="s">
        <v>667</v>
      </c>
      <c r="B309" t="s">
        <v>1919</v>
      </c>
      <c r="C309" s="48">
        <v>30176.99</v>
      </c>
      <c r="D309" s="48">
        <v>1190.18</v>
      </c>
      <c r="E309" s="48">
        <v>223.55</v>
      </c>
      <c r="F309" s="48">
        <v>0</v>
      </c>
      <c r="G309" s="48">
        <v>88.68</v>
      </c>
      <c r="H309" s="48">
        <v>1561.73</v>
      </c>
      <c r="I309" s="48">
        <v>863.35</v>
      </c>
      <c r="J309" s="48">
        <v>0</v>
      </c>
      <c r="K309" s="48">
        <v>0</v>
      </c>
      <c r="L309" s="48">
        <v>0</v>
      </c>
      <c r="M309" s="48"/>
      <c r="N309" s="48">
        <f t="shared" si="16"/>
        <v>34104.480000000003</v>
      </c>
      <c r="O309" s="48"/>
      <c r="P309" s="48"/>
      <c r="Q309" s="48" t="str">
        <f t="shared" si="17"/>
        <v>36401</v>
      </c>
      <c r="R309" s="48">
        <f t="shared" si="18"/>
        <v>34104.480000000003</v>
      </c>
    </row>
    <row r="310" spans="1:18">
      <c r="A310" t="s">
        <v>660</v>
      </c>
      <c r="B310" t="s">
        <v>1915</v>
      </c>
      <c r="C310" s="48">
        <v>361417.76</v>
      </c>
      <c r="D310" s="48">
        <v>21725.46</v>
      </c>
      <c r="E310" s="48">
        <v>5398.99</v>
      </c>
      <c r="F310" s="48">
        <v>14149.61</v>
      </c>
      <c r="G310" s="48">
        <v>87.26</v>
      </c>
      <c r="H310" s="48">
        <v>31223.8</v>
      </c>
      <c r="I310" s="48">
        <v>23351.94</v>
      </c>
      <c r="J310" s="48">
        <v>19517.759999999998</v>
      </c>
      <c r="K310" s="48">
        <v>2286.33</v>
      </c>
      <c r="L310" s="48">
        <v>10179.76</v>
      </c>
      <c r="M310" s="48"/>
      <c r="N310" s="48">
        <f t="shared" si="16"/>
        <v>489338.67000000004</v>
      </c>
      <c r="O310" s="48"/>
      <c r="P310" s="48"/>
      <c r="Q310" s="48" t="str">
        <f t="shared" si="17"/>
        <v>36140</v>
      </c>
      <c r="R310" s="48">
        <f t="shared" si="18"/>
        <v>489338.67000000004</v>
      </c>
    </row>
    <row r="311" spans="1:18">
      <c r="A311" t="s">
        <v>734</v>
      </c>
      <c r="B311" t="s">
        <v>1954</v>
      </c>
      <c r="C311" s="48">
        <v>225160.35</v>
      </c>
      <c r="D311" s="48">
        <v>19486.919999999998</v>
      </c>
      <c r="E311" s="48">
        <v>4477.0600000000004</v>
      </c>
      <c r="F311" s="48">
        <v>0</v>
      </c>
      <c r="G311" s="48">
        <v>88.83</v>
      </c>
      <c r="H311" s="48">
        <v>26023.69</v>
      </c>
      <c r="I311" s="48">
        <v>13983.1</v>
      </c>
      <c r="J311" s="48">
        <v>26518.560000000001</v>
      </c>
      <c r="K311" s="48">
        <v>1285.77</v>
      </c>
      <c r="L311" s="48">
        <v>9738.84</v>
      </c>
      <c r="M311" s="48"/>
      <c r="N311" s="48">
        <f t="shared" si="16"/>
        <v>326763.12</v>
      </c>
      <c r="O311" s="48"/>
      <c r="P311" s="48"/>
      <c r="Q311" s="48" t="str">
        <f t="shared" si="17"/>
        <v>39207</v>
      </c>
      <c r="R311" s="48">
        <f t="shared" si="18"/>
        <v>326763.12</v>
      </c>
    </row>
    <row r="312" spans="1:18">
      <c r="A312" t="s">
        <v>281</v>
      </c>
      <c r="B312" t="s">
        <v>1720</v>
      </c>
      <c r="C312" s="48">
        <v>69582.509999999995</v>
      </c>
      <c r="D312" s="48">
        <v>4568.0200000000004</v>
      </c>
      <c r="E312" s="48">
        <v>615.13</v>
      </c>
      <c r="F312" s="48">
        <v>0</v>
      </c>
      <c r="G312" s="48">
        <v>87.49</v>
      </c>
      <c r="H312" s="48">
        <v>7369.27</v>
      </c>
      <c r="I312" s="48">
        <v>4103.97</v>
      </c>
      <c r="J312" s="48">
        <v>6797.3</v>
      </c>
      <c r="K312" s="48">
        <v>391.59</v>
      </c>
      <c r="L312" s="48">
        <v>0</v>
      </c>
      <c r="M312" s="48"/>
      <c r="N312" s="48">
        <f t="shared" si="16"/>
        <v>93515.280000000013</v>
      </c>
      <c r="O312" s="48"/>
      <c r="P312" s="48"/>
      <c r="Q312" s="48" t="str">
        <f t="shared" si="17"/>
        <v>13146</v>
      </c>
      <c r="R312" s="48">
        <f t="shared" si="18"/>
        <v>93515.280000000013</v>
      </c>
    </row>
    <row r="313" spans="1:18">
      <c r="A313" t="s">
        <v>220</v>
      </c>
      <c r="B313" t="s">
        <v>1689</v>
      </c>
      <c r="C313" s="48">
        <v>203744.09</v>
      </c>
      <c r="D313" s="48">
        <v>15858.16</v>
      </c>
      <c r="E313" s="48">
        <v>4098.55</v>
      </c>
      <c r="F313" s="48">
        <v>0</v>
      </c>
      <c r="G313" s="48">
        <v>93.48</v>
      </c>
      <c r="H313" s="48">
        <v>11210.53</v>
      </c>
      <c r="I313" s="48">
        <v>0</v>
      </c>
      <c r="J313" s="48">
        <v>2979.13</v>
      </c>
      <c r="K313" s="48">
        <v>1199.49</v>
      </c>
      <c r="L313" s="48">
        <v>9607.39</v>
      </c>
      <c r="M313" s="48"/>
      <c r="N313" s="48">
        <f t="shared" si="16"/>
        <v>248790.82</v>
      </c>
      <c r="O313" s="48"/>
      <c r="P313" s="48"/>
      <c r="Q313" s="48" t="str">
        <f t="shared" si="17"/>
        <v>06112</v>
      </c>
      <c r="R313" s="48">
        <f t="shared" si="18"/>
        <v>248790.82</v>
      </c>
    </row>
    <row r="314" spans="1:18">
      <c r="A314" t="s">
        <v>163</v>
      </c>
      <c r="B314" t="s">
        <v>1659</v>
      </c>
      <c r="C314" s="48">
        <v>19203.259999999998</v>
      </c>
      <c r="D314" s="48">
        <v>294.45999999999998</v>
      </c>
      <c r="E314" s="48">
        <v>69.37</v>
      </c>
      <c r="F314" s="48">
        <v>0</v>
      </c>
      <c r="G314" s="48">
        <v>90.32</v>
      </c>
      <c r="H314" s="48">
        <v>437.84</v>
      </c>
      <c r="I314" s="48">
        <v>269.79000000000002</v>
      </c>
      <c r="J314" s="48">
        <v>0</v>
      </c>
      <c r="K314" s="48">
        <v>26.21</v>
      </c>
      <c r="L314" s="48">
        <v>0</v>
      </c>
      <c r="M314" s="48"/>
      <c r="N314" s="48">
        <f t="shared" si="16"/>
        <v>20391.249999999996</v>
      </c>
      <c r="O314" s="48"/>
      <c r="P314" s="48"/>
      <c r="Q314" s="48" t="str">
        <f t="shared" si="17"/>
        <v>01109</v>
      </c>
      <c r="R314" s="48">
        <f t="shared" si="18"/>
        <v>20391.249999999996</v>
      </c>
    </row>
    <row r="315" spans="1:18">
      <c r="A315" t="s">
        <v>255</v>
      </c>
      <c r="B315" t="s">
        <v>1707</v>
      </c>
      <c r="C315" s="48">
        <v>28339.3</v>
      </c>
      <c r="D315" s="48">
        <v>2594.66</v>
      </c>
      <c r="E315" s="48">
        <v>806.3</v>
      </c>
      <c r="F315" s="48">
        <v>0</v>
      </c>
      <c r="G315" s="48">
        <v>91.83</v>
      </c>
      <c r="H315" s="48">
        <v>1427.61</v>
      </c>
      <c r="I315" s="48">
        <v>1170.1400000000001</v>
      </c>
      <c r="J315" s="48">
        <v>656.75</v>
      </c>
      <c r="K315" s="48">
        <v>114.09</v>
      </c>
      <c r="L315" s="48">
        <v>2403.4899999999998</v>
      </c>
      <c r="M315" s="48"/>
      <c r="N315" s="48">
        <f t="shared" ref="N315:N335" si="19">SUM(C315:M315)</f>
        <v>37604.169999999991</v>
      </c>
      <c r="O315" s="48"/>
      <c r="P315" s="48"/>
      <c r="Q315" s="48" t="str">
        <f t="shared" ref="Q315:Q335" si="20">TEXT(A315, "00000")</f>
        <v>09209</v>
      </c>
      <c r="R315" s="48">
        <f t="shared" ref="R315:R335" si="21">N315</f>
        <v>37604.169999999991</v>
      </c>
    </row>
    <row r="316" spans="1:18">
      <c r="A316" t="s">
        <v>622</v>
      </c>
      <c r="B316" t="s">
        <v>1894</v>
      </c>
      <c r="C316" s="48">
        <v>31206.83</v>
      </c>
      <c r="D316" s="48">
        <v>1096.1400000000001</v>
      </c>
      <c r="E316" s="48">
        <v>0</v>
      </c>
      <c r="F316" s="48">
        <v>0</v>
      </c>
      <c r="G316" s="48">
        <v>84.88</v>
      </c>
      <c r="H316" s="48">
        <v>3071.04</v>
      </c>
      <c r="I316" s="48">
        <v>1469.23</v>
      </c>
      <c r="J316" s="48">
        <v>0</v>
      </c>
      <c r="K316" s="48">
        <v>157.25</v>
      </c>
      <c r="L316" s="48">
        <v>0</v>
      </c>
      <c r="M316" s="48"/>
      <c r="N316" s="48">
        <f t="shared" si="19"/>
        <v>37085.370000000003</v>
      </c>
      <c r="O316" s="48"/>
      <c r="P316" s="48"/>
      <c r="Q316" s="48" t="str">
        <f t="shared" si="20"/>
        <v>33049</v>
      </c>
      <c r="R316" s="48">
        <f t="shared" si="21"/>
        <v>37085.370000000003</v>
      </c>
    </row>
    <row r="317" spans="1:18">
      <c r="A317" t="s">
        <v>201</v>
      </c>
      <c r="B317" t="s">
        <v>1678</v>
      </c>
      <c r="C317" s="48">
        <v>426680.46</v>
      </c>
      <c r="D317" s="48">
        <v>65552.539999999994</v>
      </c>
      <c r="E317" s="48">
        <v>24312.41</v>
      </c>
      <c r="F317" s="48">
        <v>21629.88</v>
      </c>
      <c r="G317" s="48">
        <v>86.95</v>
      </c>
      <c r="H317" s="48">
        <v>40199.5</v>
      </c>
      <c r="I317" s="48">
        <v>25971.27</v>
      </c>
      <c r="J317" s="48">
        <v>39255.99</v>
      </c>
      <c r="K317" s="48">
        <v>2993.96</v>
      </c>
      <c r="L317" s="48">
        <v>6672.43</v>
      </c>
      <c r="M317" s="48"/>
      <c r="N317" s="48">
        <f t="shared" si="19"/>
        <v>653355.3899999999</v>
      </c>
      <c r="O317" s="48"/>
      <c r="P317" s="48"/>
      <c r="Q317" s="48" t="str">
        <f t="shared" si="20"/>
        <v>04246</v>
      </c>
      <c r="R317" s="48">
        <f t="shared" si="21"/>
        <v>653355.3899999999</v>
      </c>
    </row>
    <row r="318" spans="1:18">
      <c r="A318" t="s">
        <v>613</v>
      </c>
      <c r="B318" t="s">
        <v>1889</v>
      </c>
      <c r="C318" s="48">
        <v>223592.45</v>
      </c>
      <c r="D318" s="48">
        <v>17983.79</v>
      </c>
      <c r="E318" s="48">
        <v>8092.31</v>
      </c>
      <c r="F318" s="48">
        <v>0</v>
      </c>
      <c r="G318" s="48">
        <v>86.9</v>
      </c>
      <c r="H318" s="48">
        <v>18174.95</v>
      </c>
      <c r="I318" s="48">
        <v>8366.73</v>
      </c>
      <c r="J318" s="48">
        <v>5156.9399999999996</v>
      </c>
      <c r="K318" s="48">
        <v>1480.02</v>
      </c>
      <c r="L318" s="48">
        <v>0</v>
      </c>
      <c r="M318" s="48"/>
      <c r="N318" s="48">
        <f t="shared" si="19"/>
        <v>282934.09000000003</v>
      </c>
      <c r="O318" s="48"/>
      <c r="P318" s="48"/>
      <c r="Q318" s="48" t="str">
        <f t="shared" si="20"/>
        <v>32363</v>
      </c>
      <c r="R318" s="48">
        <f t="shared" si="21"/>
        <v>282934.09000000003</v>
      </c>
    </row>
    <row r="319" spans="1:18">
      <c r="A319" t="s">
        <v>736</v>
      </c>
      <c r="B319" t="s">
        <v>1955</v>
      </c>
      <c r="C319" s="48">
        <v>388677.88</v>
      </c>
      <c r="D319" s="48">
        <v>29672.86</v>
      </c>
      <c r="E319" s="48">
        <v>26069.94</v>
      </c>
      <c r="F319" s="48">
        <v>0</v>
      </c>
      <c r="G319" s="48">
        <v>88.23</v>
      </c>
      <c r="H319" s="48">
        <v>26298.11</v>
      </c>
      <c r="I319" s="48">
        <v>13343.31</v>
      </c>
      <c r="J319" s="48">
        <v>13528.31</v>
      </c>
      <c r="K319" s="48">
        <v>2354.15</v>
      </c>
      <c r="L319" s="48">
        <v>3897.39</v>
      </c>
      <c r="M319" s="48"/>
      <c r="N319" s="48">
        <f t="shared" si="19"/>
        <v>503930.18</v>
      </c>
      <c r="O319" s="48"/>
      <c r="P319" s="48"/>
      <c r="Q319" s="48" t="str">
        <f t="shared" si="20"/>
        <v>39208</v>
      </c>
      <c r="R319" s="48">
        <f t="shared" si="21"/>
        <v>503930.18</v>
      </c>
    </row>
    <row r="320" spans="1:18">
      <c r="A320" t="s">
        <v>1639</v>
      </c>
      <c r="B320" t="s">
        <v>1969</v>
      </c>
      <c r="C320" s="48">
        <v>15005.12</v>
      </c>
      <c r="D320" s="48">
        <v>0</v>
      </c>
      <c r="E320" s="48">
        <v>0</v>
      </c>
      <c r="F320" s="48">
        <v>0</v>
      </c>
      <c r="G320" s="48">
        <v>83.15</v>
      </c>
      <c r="H320" s="48">
        <v>264.74</v>
      </c>
      <c r="I320" s="48">
        <v>0</v>
      </c>
      <c r="J320" s="48">
        <v>0</v>
      </c>
      <c r="K320" s="48">
        <v>50.66</v>
      </c>
      <c r="L320" s="48">
        <v>0</v>
      </c>
      <c r="M320" s="48"/>
      <c r="N320" s="48">
        <f t="shared" si="19"/>
        <v>15403.67</v>
      </c>
      <c r="O320" s="48"/>
      <c r="P320" s="48"/>
      <c r="Q320" s="48" t="str">
        <f t="shared" si="20"/>
        <v>37902</v>
      </c>
      <c r="R320" s="48">
        <f t="shared" si="21"/>
        <v>15403.67</v>
      </c>
    </row>
    <row r="321" spans="1:18">
      <c r="A321" t="s">
        <v>438</v>
      </c>
      <c r="B321" t="s">
        <v>1802</v>
      </c>
      <c r="C321" s="48">
        <v>34671</v>
      </c>
      <c r="D321" s="48">
        <v>1264.18</v>
      </c>
      <c r="E321" s="48">
        <v>638.26</v>
      </c>
      <c r="F321" s="48">
        <v>0</v>
      </c>
      <c r="G321" s="48">
        <v>88.4</v>
      </c>
      <c r="H321" s="48">
        <v>2395.7800000000002</v>
      </c>
      <c r="I321" s="48">
        <v>1577.15</v>
      </c>
      <c r="J321" s="48">
        <v>0</v>
      </c>
      <c r="K321" s="48">
        <v>149.55000000000001</v>
      </c>
      <c r="L321" s="48">
        <v>0</v>
      </c>
      <c r="M321" s="48"/>
      <c r="N321" s="48">
        <f t="shared" si="19"/>
        <v>40784.320000000007</v>
      </c>
      <c r="O321" s="48"/>
      <c r="P321" s="48"/>
      <c r="Q321" s="48" t="str">
        <f t="shared" si="20"/>
        <v>21303</v>
      </c>
      <c r="R321" s="48">
        <f t="shared" si="21"/>
        <v>40784.320000000007</v>
      </c>
    </row>
    <row r="322" spans="1:18">
      <c r="A322" t="s">
        <v>531</v>
      </c>
      <c r="B322" t="s">
        <v>1847</v>
      </c>
      <c r="C322" s="48">
        <v>353540.35</v>
      </c>
      <c r="D322" s="48">
        <v>30873.09</v>
      </c>
      <c r="E322" s="48">
        <v>2900.69</v>
      </c>
      <c r="F322" s="48">
        <v>0</v>
      </c>
      <c r="G322" s="48">
        <v>93.43</v>
      </c>
      <c r="H322" s="48">
        <v>15181.61</v>
      </c>
      <c r="I322" s="48">
        <v>0</v>
      </c>
      <c r="J322" s="48">
        <v>6366.79</v>
      </c>
      <c r="K322" s="48">
        <v>2032.93</v>
      </c>
      <c r="L322" s="48">
        <v>4874.79</v>
      </c>
      <c r="M322" s="48"/>
      <c r="N322" s="48">
        <f t="shared" si="19"/>
        <v>415863.67999999993</v>
      </c>
      <c r="O322" s="48"/>
      <c r="P322" s="48"/>
      <c r="Q322" s="48" t="str">
        <f t="shared" si="20"/>
        <v>27416</v>
      </c>
      <c r="R322" s="48">
        <f t="shared" si="21"/>
        <v>415863.67999999993</v>
      </c>
    </row>
    <row r="323" spans="1:18">
      <c r="A323" t="s">
        <v>412</v>
      </c>
      <c r="B323" t="s">
        <v>1789</v>
      </c>
      <c r="C323" s="48">
        <v>85389.87</v>
      </c>
      <c r="D323" s="48">
        <v>5228.54</v>
      </c>
      <c r="E323" s="48">
        <v>0</v>
      </c>
      <c r="F323" s="48">
        <v>0</v>
      </c>
      <c r="G323" s="48">
        <v>90.14</v>
      </c>
      <c r="H323" s="48">
        <v>5143.57</v>
      </c>
      <c r="I323" s="48">
        <v>0</v>
      </c>
      <c r="J323" s="48">
        <v>4122.2299999999996</v>
      </c>
      <c r="K323" s="48">
        <v>479.4</v>
      </c>
      <c r="L323" s="48">
        <v>0</v>
      </c>
      <c r="M323" s="48"/>
      <c r="N323" s="48">
        <f t="shared" si="19"/>
        <v>100453.74999999999</v>
      </c>
      <c r="O323" s="48"/>
      <c r="P323" s="48"/>
      <c r="Q323" s="48" t="str">
        <f t="shared" si="20"/>
        <v>20405</v>
      </c>
      <c r="R323" s="48">
        <f t="shared" si="21"/>
        <v>100453.74999999999</v>
      </c>
    </row>
    <row r="324" spans="1:18">
      <c r="A324" t="s">
        <v>1643</v>
      </c>
      <c r="B324" t="s">
        <v>2392</v>
      </c>
      <c r="C324" s="48">
        <v>16372.72</v>
      </c>
      <c r="D324" s="48">
        <v>0</v>
      </c>
      <c r="E324" s="48">
        <v>0</v>
      </c>
      <c r="F324" s="48">
        <v>0</v>
      </c>
      <c r="G324" s="48">
        <v>92.57</v>
      </c>
      <c r="H324" s="48">
        <v>1140.6300000000001</v>
      </c>
      <c r="I324" s="48">
        <v>758.6</v>
      </c>
      <c r="J324" s="48">
        <v>163.72999999999999</v>
      </c>
      <c r="K324" s="48">
        <v>34.56</v>
      </c>
      <c r="L324" s="48">
        <v>0</v>
      </c>
      <c r="M324" s="48"/>
      <c r="N324" s="48">
        <f t="shared" si="19"/>
        <v>18562.810000000001</v>
      </c>
      <c r="O324" s="48"/>
      <c r="P324" s="48"/>
      <c r="Q324" s="48" t="str">
        <f t="shared" si="20"/>
        <v>17917</v>
      </c>
      <c r="R324" s="48">
        <f t="shared" si="21"/>
        <v>18562.810000000001</v>
      </c>
    </row>
    <row r="325" spans="1:18">
      <c r="A325" t="s">
        <v>452</v>
      </c>
      <c r="B325" t="s">
        <v>1809</v>
      </c>
      <c r="C325" s="48">
        <v>26695.86</v>
      </c>
      <c r="D325" s="48">
        <v>1199.43</v>
      </c>
      <c r="E325" s="48">
        <v>107.91</v>
      </c>
      <c r="F325" s="48">
        <v>0</v>
      </c>
      <c r="G325" s="48">
        <v>90.22</v>
      </c>
      <c r="H325" s="48">
        <v>1006.72</v>
      </c>
      <c r="I325" s="48">
        <v>545.76</v>
      </c>
      <c r="J325" s="48">
        <v>0</v>
      </c>
      <c r="K325" s="48">
        <v>101.75</v>
      </c>
      <c r="L325" s="48">
        <v>1725.15</v>
      </c>
      <c r="M325" s="48"/>
      <c r="N325" s="48">
        <f t="shared" si="19"/>
        <v>31472.800000000003</v>
      </c>
      <c r="O325" s="48"/>
      <c r="P325" s="48"/>
      <c r="Q325" s="48" t="str">
        <f t="shared" si="20"/>
        <v>22200</v>
      </c>
      <c r="R325" s="48">
        <f t="shared" si="21"/>
        <v>31472.800000000003</v>
      </c>
    </row>
    <row r="326" spans="1:18">
      <c r="A326" t="s">
        <v>495</v>
      </c>
      <c r="B326" t="s">
        <v>1830</v>
      </c>
      <c r="C326" s="48">
        <v>34826.720000000001</v>
      </c>
      <c r="D326" s="48">
        <v>2169.16</v>
      </c>
      <c r="E326" s="48">
        <v>336.08</v>
      </c>
      <c r="F326" s="48">
        <v>0</v>
      </c>
      <c r="G326" s="48">
        <v>86.72</v>
      </c>
      <c r="H326" s="48">
        <v>1438.39</v>
      </c>
      <c r="I326" s="48">
        <v>0</v>
      </c>
      <c r="J326" s="48">
        <v>98.67</v>
      </c>
      <c r="K326" s="48">
        <v>161.88</v>
      </c>
      <c r="L326" s="48">
        <v>0</v>
      </c>
      <c r="M326" s="48"/>
      <c r="N326" s="48">
        <f t="shared" si="19"/>
        <v>39117.620000000003</v>
      </c>
      <c r="O326" s="48"/>
      <c r="P326" s="48"/>
      <c r="Q326" s="48" t="str">
        <f t="shared" si="20"/>
        <v>25160</v>
      </c>
      <c r="R326" s="48">
        <f t="shared" si="21"/>
        <v>39117.620000000003</v>
      </c>
    </row>
    <row r="327" spans="1:18">
      <c r="A327" t="s">
        <v>293</v>
      </c>
      <c r="B327" t="s">
        <v>1726</v>
      </c>
      <c r="C327" s="48">
        <v>20120.57</v>
      </c>
      <c r="D327" s="48">
        <v>539.59</v>
      </c>
      <c r="E327" s="48">
        <v>508.75</v>
      </c>
      <c r="F327" s="48">
        <v>0</v>
      </c>
      <c r="G327" s="48">
        <v>86.92</v>
      </c>
      <c r="H327" s="48">
        <v>810.93</v>
      </c>
      <c r="I327" s="48">
        <v>555</v>
      </c>
      <c r="J327" s="48">
        <v>0</v>
      </c>
      <c r="K327" s="48">
        <v>52.42</v>
      </c>
      <c r="L327" s="48">
        <v>0</v>
      </c>
      <c r="M327" s="48"/>
      <c r="N327" s="48">
        <f t="shared" si="19"/>
        <v>22674.179999999997</v>
      </c>
      <c r="O327" s="48"/>
      <c r="P327" s="48"/>
      <c r="Q327" s="48" t="str">
        <f t="shared" si="20"/>
        <v>13167</v>
      </c>
      <c r="R327" s="48">
        <f t="shared" si="21"/>
        <v>22674.179999999997</v>
      </c>
    </row>
    <row r="328" spans="1:18">
      <c r="A328" t="s">
        <v>426</v>
      </c>
      <c r="B328" t="s">
        <v>1796</v>
      </c>
      <c r="C328" s="48">
        <v>60053.34</v>
      </c>
      <c r="D328" s="48">
        <v>4524.8599999999997</v>
      </c>
      <c r="E328" s="48">
        <v>534.97</v>
      </c>
      <c r="F328" s="48">
        <v>0</v>
      </c>
      <c r="G328" s="48">
        <v>89.95</v>
      </c>
      <c r="H328" s="48">
        <v>5600.95</v>
      </c>
      <c r="I328" s="48">
        <v>3459.54</v>
      </c>
      <c r="J328" s="48">
        <v>1145.48</v>
      </c>
      <c r="K328" s="48">
        <v>331.46</v>
      </c>
      <c r="L328" s="48">
        <v>4059.26</v>
      </c>
      <c r="M328" s="48"/>
      <c r="N328" s="48">
        <f t="shared" si="19"/>
        <v>79799.809999999983</v>
      </c>
      <c r="O328" s="48"/>
      <c r="P328" s="48"/>
      <c r="Q328" s="48" t="str">
        <f t="shared" si="20"/>
        <v>21232</v>
      </c>
      <c r="R328" s="48">
        <f t="shared" si="21"/>
        <v>79799.809999999983</v>
      </c>
    </row>
    <row r="329" spans="1:18">
      <c r="A329" t="s">
        <v>316</v>
      </c>
      <c r="B329" t="s">
        <v>1738</v>
      </c>
      <c r="C329" s="48">
        <v>23322.65</v>
      </c>
      <c r="D329" s="48">
        <v>1188.6400000000001</v>
      </c>
      <c r="E329" s="48">
        <v>356.13</v>
      </c>
      <c r="F329" s="48">
        <v>0</v>
      </c>
      <c r="G329" s="48">
        <v>89.77</v>
      </c>
      <c r="H329" s="48">
        <v>1032.93</v>
      </c>
      <c r="I329" s="48">
        <v>789.35</v>
      </c>
      <c r="J329" s="48">
        <v>0</v>
      </c>
      <c r="K329" s="48">
        <v>75.55</v>
      </c>
      <c r="L329" s="48">
        <v>977.43</v>
      </c>
      <c r="M329" s="48"/>
      <c r="N329" s="48">
        <f t="shared" si="19"/>
        <v>27832.45</v>
      </c>
      <c r="O329" s="48"/>
      <c r="P329" s="48"/>
      <c r="Q329" s="48" t="str">
        <f t="shared" si="20"/>
        <v>14117</v>
      </c>
      <c r="R329" s="48">
        <f t="shared" si="21"/>
        <v>27832.45</v>
      </c>
    </row>
    <row r="330" spans="1:18">
      <c r="A330" t="s">
        <v>396</v>
      </c>
      <c r="B330" t="s">
        <v>1781</v>
      </c>
      <c r="C330" s="48">
        <v>19046.009999999998</v>
      </c>
      <c r="D330" s="48">
        <v>619.76</v>
      </c>
      <c r="E330" s="48">
        <v>195.79</v>
      </c>
      <c r="F330" s="48">
        <v>0</v>
      </c>
      <c r="G330" s="48">
        <v>90.08</v>
      </c>
      <c r="H330" s="48">
        <v>844.84</v>
      </c>
      <c r="I330" s="48">
        <v>410.08</v>
      </c>
      <c r="J330" s="48">
        <v>0</v>
      </c>
      <c r="K330" s="48">
        <v>35.46</v>
      </c>
      <c r="L330" s="48">
        <v>0</v>
      </c>
      <c r="M330" s="48"/>
      <c r="N330" s="48">
        <f t="shared" si="19"/>
        <v>21242.02</v>
      </c>
      <c r="O330" s="48"/>
      <c r="P330" s="48"/>
      <c r="Q330" s="48" t="str">
        <f t="shared" si="20"/>
        <v>20094</v>
      </c>
      <c r="R330" s="48">
        <f t="shared" si="21"/>
        <v>21242.02</v>
      </c>
    </row>
    <row r="331" spans="1:18">
      <c r="A331" t="s">
        <v>241</v>
      </c>
      <c r="B331" t="s">
        <v>1700</v>
      </c>
      <c r="C331" s="48">
        <v>182952.03</v>
      </c>
      <c r="D331" s="48">
        <v>7045.51</v>
      </c>
      <c r="E331" s="48">
        <v>676.8</v>
      </c>
      <c r="F331" s="48">
        <v>0</v>
      </c>
      <c r="G331" s="48">
        <v>88.12</v>
      </c>
      <c r="H331" s="48">
        <v>11029.23</v>
      </c>
      <c r="I331" s="48">
        <v>1564.82</v>
      </c>
      <c r="J331" s="48">
        <v>4712.9399999999996</v>
      </c>
      <c r="K331" s="48">
        <v>1023.68</v>
      </c>
      <c r="L331" s="48">
        <v>0</v>
      </c>
      <c r="M331" s="48"/>
      <c r="N331" s="48">
        <f t="shared" si="19"/>
        <v>209093.13</v>
      </c>
      <c r="O331" s="48"/>
      <c r="P331" s="48"/>
      <c r="Q331" s="48" t="str">
        <f t="shared" si="20"/>
        <v>08404</v>
      </c>
      <c r="R331" s="48">
        <f t="shared" si="21"/>
        <v>209093.13</v>
      </c>
    </row>
    <row r="332" spans="1:18">
      <c r="A332" t="s">
        <v>1510</v>
      </c>
      <c r="B332" t="s">
        <v>1957</v>
      </c>
      <c r="C332" s="48">
        <v>8425.32</v>
      </c>
      <c r="D332" s="48">
        <v>0</v>
      </c>
      <c r="E332" s="48">
        <v>0</v>
      </c>
      <c r="F332" s="48">
        <v>0</v>
      </c>
      <c r="G332" s="48">
        <v>78.2</v>
      </c>
      <c r="H332" s="48">
        <v>0</v>
      </c>
      <c r="I332" s="48">
        <v>0</v>
      </c>
      <c r="J332" s="48">
        <v>0</v>
      </c>
      <c r="K332" s="48">
        <v>0</v>
      </c>
      <c r="L332" s="48">
        <v>0</v>
      </c>
      <c r="M332" s="48"/>
      <c r="N332" s="48">
        <f t="shared" si="19"/>
        <v>8503.52</v>
      </c>
      <c r="O332" s="48"/>
      <c r="P332" s="48"/>
      <c r="Q332" s="48" t="str">
        <f t="shared" si="20"/>
        <v>39901</v>
      </c>
      <c r="R332" s="48">
        <f t="shared" si="21"/>
        <v>8503.52</v>
      </c>
    </row>
    <row r="333" spans="1:18">
      <c r="A333" t="s">
        <v>715</v>
      </c>
      <c r="B333" t="s">
        <v>1944</v>
      </c>
      <c r="C333" s="48">
        <v>1057230.5900000001</v>
      </c>
      <c r="D333" s="48">
        <v>81818.880000000005</v>
      </c>
      <c r="E333" s="48">
        <v>45794.28</v>
      </c>
      <c r="F333" s="48">
        <v>52821.3</v>
      </c>
      <c r="G333" s="48">
        <v>86.84</v>
      </c>
      <c r="H333" s="48">
        <v>128838.81</v>
      </c>
      <c r="I333" s="48">
        <v>66936.98</v>
      </c>
      <c r="J333" s="48">
        <v>119617.98</v>
      </c>
      <c r="K333" s="48">
        <v>6660.09</v>
      </c>
      <c r="L333" s="48">
        <v>0</v>
      </c>
      <c r="M333" s="48"/>
      <c r="N333" s="48">
        <f t="shared" si="19"/>
        <v>1559805.7500000005</v>
      </c>
      <c r="O333" s="48"/>
      <c r="P333" s="48"/>
      <c r="Q333" s="48" t="str">
        <f t="shared" si="20"/>
        <v>39007</v>
      </c>
      <c r="R333" s="48">
        <f t="shared" si="21"/>
        <v>1559805.7500000005</v>
      </c>
    </row>
    <row r="334" spans="1:18">
      <c r="A334" t="s">
        <v>640</v>
      </c>
      <c r="B334" t="s">
        <v>1904</v>
      </c>
      <c r="C334" s="48">
        <v>442912.49</v>
      </c>
      <c r="D334" s="48">
        <v>30732.55</v>
      </c>
      <c r="E334" s="48">
        <v>8.17</v>
      </c>
      <c r="F334" s="48">
        <v>0</v>
      </c>
      <c r="G334" s="48">
        <v>93.37</v>
      </c>
      <c r="H334" s="48">
        <v>27085.040000000001</v>
      </c>
      <c r="I334" s="48">
        <v>2894.14</v>
      </c>
      <c r="J334" s="48">
        <v>5713.12</v>
      </c>
      <c r="K334" s="48">
        <v>2477.4299999999998</v>
      </c>
      <c r="L334" s="48">
        <v>4118.1499999999996</v>
      </c>
      <c r="M334" s="48"/>
      <c r="N334" s="48">
        <f t="shared" si="19"/>
        <v>516034.45999999996</v>
      </c>
      <c r="O334" s="48"/>
      <c r="P334" s="48"/>
      <c r="Q334" s="48" t="str">
        <f t="shared" si="20"/>
        <v>34002</v>
      </c>
      <c r="R334" s="48">
        <f t="shared" si="21"/>
        <v>516034.45999999996</v>
      </c>
    </row>
    <row r="335" spans="1:18">
      <c r="A335" t="s">
        <v>732</v>
      </c>
      <c r="B335" t="s">
        <v>1953</v>
      </c>
      <c r="C335" s="48">
        <v>105271.03999999999</v>
      </c>
      <c r="D335" s="48">
        <v>6401.09</v>
      </c>
      <c r="E335" s="48">
        <v>0</v>
      </c>
      <c r="F335" s="48">
        <v>0</v>
      </c>
      <c r="G335" s="48">
        <v>88.41</v>
      </c>
      <c r="H335" s="48">
        <v>8579.49</v>
      </c>
      <c r="I335" s="48">
        <v>4773.0600000000004</v>
      </c>
      <c r="J335" s="48">
        <v>4060.8</v>
      </c>
      <c r="K335" s="48">
        <v>568.88</v>
      </c>
      <c r="L335" s="48">
        <v>5271.03</v>
      </c>
      <c r="M335" s="48"/>
      <c r="N335" s="48">
        <f t="shared" si="19"/>
        <v>135013.80000000002</v>
      </c>
      <c r="O335" s="48"/>
      <c r="P335" s="48"/>
      <c r="Q335" s="48" t="str">
        <f t="shared" si="20"/>
        <v>39205</v>
      </c>
      <c r="R335" s="48">
        <f t="shared" si="21"/>
        <v>135013.80000000002</v>
      </c>
    </row>
  </sheetData>
  <sortState xmlns:xlrd2="http://schemas.microsoft.com/office/spreadsheetml/2017/richdata2" ref="A4:I322">
    <sortCondition ref="A4:A322"/>
  </sortState>
  <pageMargins left="0.7" right="0.7" top="0.75" bottom="0.75" header="0.3" footer="0.3"/>
  <pageSetup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391A3E-6B40-42DE-9CBD-848630BE634C}">
  <sheetPr>
    <tabColor rgb="FF66FF33"/>
  </sheetPr>
  <dimension ref="A1:BK358"/>
  <sheetViews>
    <sheetView zoomScale="90" zoomScaleNormal="90" workbookViewId="0">
      <pane xSplit="3" ySplit="7" topLeftCell="X8" activePane="bottomRight" state="frozen"/>
      <selection pane="topRight" activeCell="D1" sqref="D1"/>
      <selection pane="bottomLeft" activeCell="A8" sqref="A8"/>
      <selection pane="bottomRight" activeCell="AM6" sqref="AM6"/>
    </sheetView>
  </sheetViews>
  <sheetFormatPr defaultColWidth="8.88671875" defaultRowHeight="14.4"/>
  <cols>
    <col min="1" max="1" width="8.88671875" style="165"/>
    <col min="2" max="2" width="9" style="165" bestFit="1" customWidth="1"/>
    <col min="3" max="3" width="37.109375" style="165" bestFit="1" customWidth="1"/>
    <col min="4" max="4" width="13.21875" style="165" bestFit="1" customWidth="1"/>
    <col min="5" max="5" width="11.88671875" style="165" bestFit="1" customWidth="1"/>
    <col min="6" max="6" width="13.5546875" style="165" bestFit="1" customWidth="1"/>
    <col min="7" max="7" width="13.44140625" style="165" bestFit="1" customWidth="1"/>
    <col min="8" max="8" width="13.21875" style="165" bestFit="1" customWidth="1"/>
    <col min="9" max="9" width="13" style="165" bestFit="1" customWidth="1"/>
    <col min="10" max="10" width="13.5546875" style="165" bestFit="1" customWidth="1"/>
    <col min="11" max="11" width="13.44140625" style="165" bestFit="1" customWidth="1"/>
    <col min="12" max="12" width="13.88671875" style="165" bestFit="1" customWidth="1"/>
    <col min="13" max="13" width="13" style="165" bestFit="1" customWidth="1"/>
    <col min="14" max="14" width="13.5546875" style="165" bestFit="1" customWidth="1"/>
    <col min="15" max="15" width="13.44140625" style="165" bestFit="1" customWidth="1"/>
    <col min="16" max="16" width="13.88671875" style="165" bestFit="1" customWidth="1"/>
    <col min="17" max="17" width="13" style="165" bestFit="1" customWidth="1"/>
    <col min="18" max="18" width="13.5546875" style="165" bestFit="1" customWidth="1"/>
    <col min="19" max="19" width="13.44140625" bestFit="1" customWidth="1"/>
    <col min="20" max="20" width="13.88671875" bestFit="1" customWidth="1"/>
    <col min="21" max="21" width="14" bestFit="1" customWidth="1"/>
    <col min="22" max="22" width="13.5546875" bestFit="1" customWidth="1"/>
    <col min="23" max="23" width="13.44140625" bestFit="1" customWidth="1"/>
    <col min="24" max="24" width="13.21875" bestFit="1" customWidth="1"/>
    <col min="25" max="25" width="13" bestFit="1" customWidth="1"/>
    <col min="26" max="26" width="13.5546875" customWidth="1"/>
    <col min="27" max="27" width="14.109375" bestFit="1" customWidth="1"/>
    <col min="28" max="28" width="13.21875" bestFit="1" customWidth="1"/>
    <col min="29" max="29" width="13.109375" bestFit="1" customWidth="1"/>
    <col min="30" max="38" width="13" customWidth="1"/>
    <col min="39" max="39" width="13.44140625" bestFit="1" customWidth="1"/>
    <col min="40" max="41" width="13" customWidth="1"/>
    <col min="42" max="42" width="14.44140625" customWidth="1"/>
    <col min="43" max="43" width="6.44140625" customWidth="1"/>
    <col min="44" max="44" width="6.33203125" customWidth="1"/>
    <col min="45" max="45" width="14.44140625" style="165" customWidth="1"/>
    <col min="46" max="46" width="57.21875" style="165" bestFit="1" customWidth="1"/>
    <col min="47" max="47" width="15.33203125" style="165" bestFit="1" customWidth="1"/>
    <col min="48" max="51" width="15.33203125" style="165" customWidth="1"/>
    <col min="52" max="53" width="13.21875" style="165" bestFit="1" customWidth="1"/>
    <col min="54" max="54" width="13" style="165" bestFit="1" customWidth="1"/>
    <col min="55" max="56" width="14.44140625" style="165" bestFit="1" customWidth="1"/>
    <col min="57" max="57" width="2.109375" style="165" customWidth="1"/>
    <col min="58" max="58" width="15.6640625" style="165" bestFit="1" customWidth="1"/>
    <col min="59" max="59" width="2.109375" style="165" customWidth="1"/>
    <col min="60" max="60" width="8.88671875" style="165"/>
    <col min="61" max="61" width="13.44140625" style="165" bestFit="1" customWidth="1"/>
    <col min="62" max="62" width="15.44140625" style="165" bestFit="1" customWidth="1"/>
    <col min="63" max="16384" width="8.88671875" style="165"/>
  </cols>
  <sheetData>
    <row r="1" spans="1:63">
      <c r="D1" s="165" t="s">
        <v>1974</v>
      </c>
      <c r="H1" s="165" t="s">
        <v>1970</v>
      </c>
      <c r="L1" s="165" t="s">
        <v>1971</v>
      </c>
      <c r="P1" s="165" t="s">
        <v>2001</v>
      </c>
      <c r="R1"/>
      <c r="T1" s="165" t="s">
        <v>2329</v>
      </c>
      <c r="U1" s="165"/>
      <c r="X1" s="635" t="s">
        <v>2397</v>
      </c>
      <c r="Y1" s="636"/>
      <c r="AB1" s="631" t="s">
        <v>2494</v>
      </c>
      <c r="AC1" s="631"/>
      <c r="AD1" s="165"/>
      <c r="AE1" s="165"/>
      <c r="AF1" s="165"/>
      <c r="AG1" s="165"/>
      <c r="AH1" s="165"/>
      <c r="AI1" s="165"/>
      <c r="AJ1" s="165"/>
      <c r="AK1" s="165"/>
      <c r="AL1" s="165"/>
      <c r="AM1" s="165"/>
      <c r="AN1" s="165"/>
      <c r="AO1" s="165"/>
      <c r="AQ1" s="471"/>
      <c r="AS1"/>
      <c r="AT1"/>
      <c r="AU1"/>
      <c r="AV1"/>
      <c r="AW1"/>
      <c r="AX1"/>
      <c r="AY1"/>
      <c r="AZ1"/>
      <c r="BA1"/>
      <c r="BB1"/>
      <c r="BC1"/>
      <c r="BD1"/>
      <c r="BE1"/>
      <c r="BF1"/>
      <c r="BG1"/>
      <c r="BH1"/>
      <c r="BI1"/>
      <c r="BJ1"/>
    </row>
    <row r="2" spans="1:63">
      <c r="B2" s="164">
        <v>1</v>
      </c>
      <c r="C2" s="164">
        <v>2</v>
      </c>
      <c r="D2" s="175">
        <v>42</v>
      </c>
      <c r="E2" s="175">
        <v>43</v>
      </c>
      <c r="H2" s="175">
        <v>42</v>
      </c>
      <c r="I2" s="175">
        <v>43</v>
      </c>
      <c r="L2" s="175">
        <v>42</v>
      </c>
      <c r="M2" s="175">
        <v>43</v>
      </c>
      <c r="P2" s="175">
        <v>42</v>
      </c>
      <c r="Q2" s="175">
        <v>43</v>
      </c>
      <c r="R2"/>
      <c r="T2" s="175">
        <v>42</v>
      </c>
      <c r="U2" s="175">
        <v>43</v>
      </c>
      <c r="X2" s="558">
        <v>42</v>
      </c>
      <c r="Y2" s="559">
        <v>43</v>
      </c>
      <c r="AB2" s="558">
        <v>42</v>
      </c>
      <c r="AC2" s="559">
        <v>43</v>
      </c>
      <c r="AD2" s="557"/>
      <c r="AE2" s="557"/>
      <c r="AF2" s="557"/>
      <c r="AG2" s="557"/>
      <c r="AH2" s="557"/>
      <c r="AI2" s="557"/>
      <c r="AJ2" s="557"/>
      <c r="AK2" s="557"/>
      <c r="AL2" s="557"/>
      <c r="AM2" s="557"/>
      <c r="AN2" s="557"/>
      <c r="AO2" s="557"/>
      <c r="AQ2" s="471"/>
      <c r="AS2"/>
      <c r="AT2"/>
      <c r="AU2"/>
      <c r="AV2"/>
      <c r="AW2"/>
      <c r="AX2"/>
      <c r="AY2"/>
      <c r="AZ2"/>
      <c r="BA2"/>
      <c r="BB2"/>
      <c r="BC2"/>
      <c r="BD2"/>
      <c r="BE2"/>
      <c r="BF2"/>
      <c r="BG2"/>
      <c r="BH2"/>
      <c r="BI2"/>
      <c r="BJ2"/>
    </row>
    <row r="3" spans="1:63">
      <c r="B3" s="166"/>
      <c r="C3" s="166"/>
      <c r="D3" s="176" t="s">
        <v>1569</v>
      </c>
      <c r="E3" s="176" t="s">
        <v>1569</v>
      </c>
      <c r="G3" s="167" t="s">
        <v>1608</v>
      </c>
      <c r="H3" s="176" t="s">
        <v>1569</v>
      </c>
      <c r="I3" s="176" t="s">
        <v>1569</v>
      </c>
      <c r="L3" s="176" t="s">
        <v>1569</v>
      </c>
      <c r="M3" s="176" t="s">
        <v>1569</v>
      </c>
      <c r="P3" s="176" t="s">
        <v>1569</v>
      </c>
      <c r="Q3" s="176" t="s">
        <v>1569</v>
      </c>
      <c r="R3"/>
      <c r="T3" s="176" t="s">
        <v>1569</v>
      </c>
      <c r="U3" s="176" t="s">
        <v>1569</v>
      </c>
      <c r="X3" s="560" t="s">
        <v>1569</v>
      </c>
      <c r="Y3" s="561" t="s">
        <v>1569</v>
      </c>
      <c r="AB3" s="560" t="s">
        <v>1569</v>
      </c>
      <c r="AC3" s="561" t="s">
        <v>1569</v>
      </c>
      <c r="AD3" s="167"/>
      <c r="AE3" s="167"/>
      <c r="AF3" s="167"/>
      <c r="AG3" s="167"/>
      <c r="AH3" s="167"/>
      <c r="AI3" s="167"/>
      <c r="AJ3" s="167"/>
      <c r="AK3" s="167"/>
      <c r="AL3" s="167"/>
      <c r="AM3" s="167"/>
      <c r="AN3" s="167"/>
      <c r="AO3" s="167"/>
      <c r="AQ3" s="471"/>
      <c r="AS3"/>
      <c r="AT3"/>
      <c r="AU3" t="s">
        <v>2656</v>
      </c>
      <c r="AV3"/>
      <c r="AW3"/>
      <c r="AX3"/>
      <c r="AY3" s="720" t="s">
        <v>2685</v>
      </c>
      <c r="AZ3"/>
      <c r="BA3"/>
      <c r="BB3"/>
      <c r="BC3"/>
      <c r="BD3"/>
      <c r="BE3"/>
      <c r="BF3"/>
      <c r="BG3"/>
      <c r="BH3"/>
      <c r="BI3"/>
      <c r="BJ3"/>
    </row>
    <row r="4" spans="1:63">
      <c r="B4" s="166"/>
      <c r="C4" s="166"/>
      <c r="D4" s="176"/>
      <c r="E4" s="176"/>
      <c r="G4" s="167"/>
      <c r="H4" s="176"/>
      <c r="I4" s="176"/>
      <c r="L4" s="176"/>
      <c r="M4" s="176"/>
      <c r="P4" s="176"/>
      <c r="Q4" s="176"/>
      <c r="R4"/>
      <c r="T4" s="176"/>
      <c r="U4" s="176"/>
      <c r="W4" s="574" t="s">
        <v>2577</v>
      </c>
      <c r="X4" s="560"/>
      <c r="Y4" s="561"/>
      <c r="AB4" s="560"/>
      <c r="AC4" s="561"/>
      <c r="AD4" s="167"/>
      <c r="AE4" s="167"/>
      <c r="AF4" s="167"/>
      <c r="AG4" s="167"/>
      <c r="AH4" s="167"/>
      <c r="AI4" s="167"/>
      <c r="AJ4" s="167"/>
      <c r="AK4" s="167"/>
      <c r="AL4" s="167"/>
      <c r="AM4" s="167"/>
      <c r="AN4" s="167"/>
      <c r="AO4" s="167"/>
      <c r="AQ4" s="471"/>
      <c r="AS4"/>
      <c r="AT4" t="s">
        <v>2657</v>
      </c>
      <c r="AU4" s="48" t="s">
        <v>2658</v>
      </c>
      <c r="AV4" s="48"/>
      <c r="AW4" s="48"/>
      <c r="AX4" s="48"/>
      <c r="AY4" s="721"/>
      <c r="AZ4" s="48"/>
      <c r="BA4" s="48"/>
      <c r="BB4" s="48"/>
      <c r="BC4" s="48"/>
      <c r="BD4" s="48"/>
      <c r="BE4" s="48"/>
      <c r="BF4" s="48"/>
      <c r="BG4" s="48"/>
      <c r="BH4" s="48"/>
      <c r="BI4" s="48"/>
      <c r="BJ4" s="48"/>
    </row>
    <row r="5" spans="1:63" ht="28.8">
      <c r="B5" s="73"/>
      <c r="C5" s="73"/>
      <c r="D5" s="236" t="s">
        <v>1568</v>
      </c>
      <c r="E5" s="236" t="s">
        <v>1572</v>
      </c>
      <c r="F5" s="236" t="s">
        <v>1572</v>
      </c>
      <c r="G5" s="236" t="s">
        <v>1572</v>
      </c>
      <c r="H5" s="236" t="s">
        <v>1572</v>
      </c>
      <c r="I5" s="236" t="s">
        <v>1606</v>
      </c>
      <c r="J5" s="236" t="s">
        <v>1606</v>
      </c>
      <c r="K5" s="236" t="s">
        <v>1654</v>
      </c>
      <c r="L5" s="236" t="s">
        <v>1646</v>
      </c>
      <c r="M5" s="236" t="s">
        <v>1647</v>
      </c>
      <c r="N5" s="236" t="s">
        <v>1973</v>
      </c>
      <c r="O5" s="236" t="s">
        <v>2000</v>
      </c>
      <c r="P5" s="236" t="s">
        <v>2003</v>
      </c>
      <c r="Q5" s="236" t="s">
        <v>2002</v>
      </c>
      <c r="R5" s="236" t="s">
        <v>2003</v>
      </c>
      <c r="S5" s="236" t="s">
        <v>2003</v>
      </c>
      <c r="T5" s="236" t="s">
        <v>2330</v>
      </c>
      <c r="U5" s="236" t="s">
        <v>2331</v>
      </c>
      <c r="V5" s="236" t="s">
        <v>2330</v>
      </c>
      <c r="W5" s="236" t="s">
        <v>2330</v>
      </c>
      <c r="X5" s="562" t="s">
        <v>2398</v>
      </c>
      <c r="Y5" s="563" t="s">
        <v>2399</v>
      </c>
      <c r="Z5" s="236" t="s">
        <v>2398</v>
      </c>
      <c r="AA5" s="236" t="s">
        <v>2572</v>
      </c>
      <c r="AB5" s="236" t="s">
        <v>2492</v>
      </c>
      <c r="AC5" s="236" t="s">
        <v>2493</v>
      </c>
      <c r="AD5" s="236" t="s">
        <v>2492</v>
      </c>
      <c r="AE5" s="236"/>
      <c r="AF5" s="236"/>
      <c r="AG5" s="236"/>
      <c r="AH5" s="236"/>
      <c r="AI5" s="236"/>
      <c r="AJ5" s="236"/>
      <c r="AK5" s="236"/>
      <c r="AL5" s="236"/>
      <c r="AM5" s="236" t="s">
        <v>57</v>
      </c>
      <c r="AN5" s="236"/>
      <c r="AO5" s="236" t="s">
        <v>2670</v>
      </c>
      <c r="AQ5" s="471"/>
      <c r="AS5"/>
      <c r="AT5" s="613" t="s">
        <v>2659</v>
      </c>
      <c r="AU5" s="614" t="s">
        <v>2660</v>
      </c>
      <c r="AV5" s="614" t="s">
        <v>2661</v>
      </c>
      <c r="AW5" s="614" t="s">
        <v>2662</v>
      </c>
      <c r="AX5" s="614" t="s">
        <v>2663</v>
      </c>
      <c r="AY5" s="615" t="s">
        <v>2664</v>
      </c>
      <c r="AZ5" s="615" t="s">
        <v>2665</v>
      </c>
      <c r="BA5" s="616" t="s">
        <v>2666</v>
      </c>
      <c r="BB5" s="615" t="s">
        <v>2667</v>
      </c>
      <c r="BC5" s="615" t="s">
        <v>2668</v>
      </c>
      <c r="BD5" s="617" t="s">
        <v>2669</v>
      </c>
      <c r="BE5" s="48"/>
      <c r="BF5" s="48"/>
      <c r="BG5" s="48"/>
      <c r="BH5" s="48"/>
      <c r="BI5" s="48"/>
      <c r="BJ5" s="618" t="s">
        <v>2670</v>
      </c>
    </row>
    <row r="6" spans="1:63" ht="31.2" customHeight="1">
      <c r="B6" s="73"/>
      <c r="C6" s="73"/>
      <c r="D6" s="237" t="s">
        <v>64</v>
      </c>
      <c r="E6" s="167" t="s">
        <v>1566</v>
      </c>
      <c r="F6" s="201" t="s">
        <v>1605</v>
      </c>
      <c r="G6" s="180" t="s">
        <v>57</v>
      </c>
      <c r="H6" s="237" t="s">
        <v>64</v>
      </c>
      <c r="I6" s="167" t="s">
        <v>1566</v>
      </c>
      <c r="J6" s="201" t="s">
        <v>1605</v>
      </c>
      <c r="K6" s="180" t="s">
        <v>57</v>
      </c>
      <c r="L6" s="167" t="s">
        <v>64</v>
      </c>
      <c r="M6" s="167" t="s">
        <v>1566</v>
      </c>
      <c r="N6" s="201" t="s">
        <v>1605</v>
      </c>
      <c r="O6" s="180" t="s">
        <v>57</v>
      </c>
      <c r="P6" s="167" t="s">
        <v>64</v>
      </c>
      <c r="Q6" s="167" t="s">
        <v>1566</v>
      </c>
      <c r="R6" s="201" t="s">
        <v>1605</v>
      </c>
      <c r="S6" s="180" t="s">
        <v>57</v>
      </c>
      <c r="T6" s="167" t="s">
        <v>64</v>
      </c>
      <c r="U6" s="167" t="s">
        <v>1566</v>
      </c>
      <c r="V6" s="201" t="s">
        <v>1605</v>
      </c>
      <c r="W6" s="180" t="s">
        <v>57</v>
      </c>
      <c r="X6" s="564" t="s">
        <v>64</v>
      </c>
      <c r="Y6" s="565" t="s">
        <v>1566</v>
      </c>
      <c r="Z6" s="201" t="s">
        <v>1605</v>
      </c>
      <c r="AA6" s="180" t="s">
        <v>57</v>
      </c>
      <c r="AB6" s="167" t="s">
        <v>64</v>
      </c>
      <c r="AC6" s="167" t="s">
        <v>1566</v>
      </c>
      <c r="AD6" s="201" t="s">
        <v>1605</v>
      </c>
      <c r="AE6" s="629"/>
      <c r="AF6" s="629"/>
      <c r="AG6" s="629"/>
      <c r="AH6" s="629"/>
      <c r="AI6" s="629"/>
      <c r="AJ6" s="167"/>
      <c r="AK6" s="167"/>
      <c r="AM6" s="66" t="s">
        <v>2654</v>
      </c>
      <c r="AN6" s="167"/>
      <c r="AO6" s="629" t="s">
        <v>2671</v>
      </c>
      <c r="AQ6" s="471"/>
      <c r="AS6" s="47" t="s">
        <v>79</v>
      </c>
      <c r="AT6" s="47" t="s">
        <v>2388</v>
      </c>
      <c r="AU6" s="619" t="s">
        <v>1979</v>
      </c>
      <c r="AV6" s="620" t="s">
        <v>2573</v>
      </c>
      <c r="AW6" s="620" t="s">
        <v>2574</v>
      </c>
      <c r="AX6" s="620" t="s">
        <v>2575</v>
      </c>
      <c r="AY6" s="717" t="s">
        <v>1978</v>
      </c>
      <c r="AZ6" s="619" t="s">
        <v>1975</v>
      </c>
      <c r="BA6" s="619" t="s">
        <v>2389</v>
      </c>
      <c r="BB6" s="619" t="s">
        <v>1976</v>
      </c>
      <c r="BC6" s="619" t="s">
        <v>1977</v>
      </c>
      <c r="BD6" s="620" t="s">
        <v>2576</v>
      </c>
      <c r="BE6" s="621"/>
      <c r="BF6" s="622" t="s">
        <v>1658</v>
      </c>
      <c r="BG6" s="621"/>
      <c r="BH6" s="621"/>
      <c r="BI6" s="621"/>
      <c r="BJ6" s="623" t="s">
        <v>2671</v>
      </c>
    </row>
    <row r="7" spans="1:63">
      <c r="B7" s="73" t="s">
        <v>758</v>
      </c>
      <c r="C7" s="630"/>
      <c r="D7" s="168">
        <v>4431745.6099999975</v>
      </c>
      <c r="E7" s="169">
        <f t="shared" ref="E7:AE7" si="0">SUM(E8:E337)</f>
        <v>75279599.129999995</v>
      </c>
      <c r="F7" s="169">
        <f t="shared" si="0"/>
        <v>79711344.73999998</v>
      </c>
      <c r="G7" s="169">
        <f t="shared" si="0"/>
        <v>71820404.569999948</v>
      </c>
      <c r="H7" s="169">
        <f t="shared" si="0"/>
        <v>11041926.849999992</v>
      </c>
      <c r="I7" s="169">
        <f t="shared" si="0"/>
        <v>106014026.80999999</v>
      </c>
      <c r="J7" s="169">
        <f t="shared" si="0"/>
        <v>117055953.6600001</v>
      </c>
      <c r="K7" s="169">
        <f t="shared" si="0"/>
        <v>109592989.97</v>
      </c>
      <c r="L7" s="169">
        <f t="shared" si="0"/>
        <v>14991267.160000002</v>
      </c>
      <c r="M7" s="169">
        <f t="shared" si="0"/>
        <v>106452800.0599999</v>
      </c>
      <c r="N7" s="169">
        <f t="shared" si="0"/>
        <v>121444067.21999998</v>
      </c>
      <c r="O7" s="169">
        <f t="shared" si="0"/>
        <v>109743039.62000006</v>
      </c>
      <c r="P7" s="197">
        <f t="shared" si="0"/>
        <v>21144053.220000014</v>
      </c>
      <c r="Q7" s="197">
        <f t="shared" si="0"/>
        <v>116400033.94999997</v>
      </c>
      <c r="R7" s="169">
        <f t="shared" si="0"/>
        <v>137544087.17000005</v>
      </c>
      <c r="S7" s="169">
        <f t="shared" si="0"/>
        <v>126228176.38000001</v>
      </c>
      <c r="T7" s="197">
        <f t="shared" si="0"/>
        <v>21535207.190000005</v>
      </c>
      <c r="U7" s="197">
        <f t="shared" si="0"/>
        <v>120128324.48000002</v>
      </c>
      <c r="V7" s="169">
        <f t="shared" si="0"/>
        <v>141598439.95999995</v>
      </c>
      <c r="W7" s="470">
        <f t="shared" si="0"/>
        <v>124957679.35999998</v>
      </c>
      <c r="X7" s="566">
        <f t="shared" si="0"/>
        <v>25619621.280000009</v>
      </c>
      <c r="Y7" s="567">
        <f t="shared" si="0"/>
        <v>127575179.86000006</v>
      </c>
      <c r="Z7" s="169">
        <f t="shared" si="0"/>
        <v>153112791.89000005</v>
      </c>
      <c r="AA7" s="470">
        <f t="shared" si="0"/>
        <v>133349575.21000001</v>
      </c>
      <c r="AB7" s="197">
        <f t="shared" si="0"/>
        <v>24731362.540000014</v>
      </c>
      <c r="AC7" s="197">
        <f t="shared" si="0"/>
        <v>125240105.88999997</v>
      </c>
      <c r="AD7" s="197">
        <f t="shared" si="0"/>
        <v>149877021.82000008</v>
      </c>
      <c r="AE7" s="197"/>
      <c r="AF7" s="630"/>
      <c r="AG7" s="630"/>
      <c r="AH7" s="630"/>
      <c r="AI7" s="630"/>
      <c r="AJ7" s="197"/>
      <c r="AK7" s="197"/>
      <c r="AM7" s="66" t="s">
        <v>2655</v>
      </c>
      <c r="AN7" s="197"/>
      <c r="AO7" s="197">
        <f t="shared" ref="AO7" si="1">SUM(AO8:AO337)</f>
        <v>125240105.88999997</v>
      </c>
      <c r="AQ7" s="471"/>
      <c r="AS7" s="222"/>
      <c r="AT7" s="222" t="s">
        <v>2390</v>
      </c>
      <c r="AU7" s="624">
        <f t="shared" ref="AU7:BD7" si="2">SUM(AU8:AU337)</f>
        <v>87623329.929999948</v>
      </c>
      <c r="AV7" s="624">
        <f t="shared" si="2"/>
        <v>6002691.4999999981</v>
      </c>
      <c r="AW7" s="624">
        <f t="shared" si="2"/>
        <v>1416041.7200000007</v>
      </c>
      <c r="AX7" s="624">
        <f t="shared" si="2"/>
        <v>795623.06</v>
      </c>
      <c r="AY7" s="718">
        <f t="shared" si="2"/>
        <v>15885017.57</v>
      </c>
      <c r="AZ7" s="624">
        <f t="shared" si="2"/>
        <v>5490699.6600000001</v>
      </c>
      <c r="BA7" s="624">
        <f t="shared" si="2"/>
        <v>2339985.85</v>
      </c>
      <c r="BB7" s="624">
        <f t="shared" si="2"/>
        <v>4305862.4699999969</v>
      </c>
      <c r="BC7" s="624">
        <f t="shared" si="2"/>
        <v>509833.27999999985</v>
      </c>
      <c r="BD7" s="624">
        <f t="shared" si="2"/>
        <v>871020.85000000021</v>
      </c>
      <c r="BE7" s="48"/>
      <c r="BF7" s="625">
        <f t="shared" ref="BF7:BF70" si="3">SUM(AU7:BE7)</f>
        <v>125240105.88999993</v>
      </c>
      <c r="BG7" s="626"/>
      <c r="BH7" s="626"/>
      <c r="BI7" s="626"/>
      <c r="BJ7" s="624">
        <f>SUM(BJ8:BJ337)</f>
        <v>125240105.88999997</v>
      </c>
    </row>
    <row r="8" spans="1:63">
      <c r="A8" s="196">
        <v>1</v>
      </c>
      <c r="B8" s="73" t="s">
        <v>297</v>
      </c>
      <c r="C8" s="139" t="s">
        <v>298</v>
      </c>
      <c r="D8" s="168">
        <v>9625.910000000018</v>
      </c>
      <c r="E8" s="170">
        <v>221517.12</v>
      </c>
      <c r="F8" s="171">
        <f t="shared" ref="F8:F39" si="4">+D8+E8</f>
        <v>231143.03000000003</v>
      </c>
      <c r="G8" s="181">
        <v>205945.92</v>
      </c>
      <c r="H8" s="178">
        <v>25197.110000000015</v>
      </c>
      <c r="I8" s="170">
        <v>302266.43</v>
      </c>
      <c r="J8" s="171">
        <f t="shared" ref="J8:J39" si="5">+H8+I8</f>
        <v>327463.54000000004</v>
      </c>
      <c r="K8" s="202">
        <v>268870.09000000003</v>
      </c>
      <c r="L8" s="171">
        <v>58593.450000000012</v>
      </c>
      <c r="M8" s="197">
        <v>305959.77</v>
      </c>
      <c r="N8" s="171">
        <f t="shared" ref="N8:N39" si="6">+L8+M8</f>
        <v>364553.22000000003</v>
      </c>
      <c r="O8" s="202">
        <v>314410.52999999997</v>
      </c>
      <c r="P8" s="238">
        <v>50142.690000000061</v>
      </c>
      <c r="Q8" s="197">
        <v>335212.83999999997</v>
      </c>
      <c r="R8" s="171">
        <f t="shared" ref="R8:R39" si="7">+P8+Q8</f>
        <v>385355.53</v>
      </c>
      <c r="S8" s="202">
        <v>410240.02000000014</v>
      </c>
      <c r="T8" s="238">
        <v>0</v>
      </c>
      <c r="U8" s="238">
        <v>340731.16</v>
      </c>
      <c r="V8" s="171">
        <f t="shared" ref="V8:V39" si="8">+T8+U8</f>
        <v>340731.16</v>
      </c>
      <c r="W8" s="56">
        <v>402872.64999999991</v>
      </c>
      <c r="X8" s="568">
        <f t="shared" ref="X8:X71" si="9">IF(+V8-W8&lt;0,0,(+V8-W8))</f>
        <v>0</v>
      </c>
      <c r="Y8" s="569">
        <v>353855.61</v>
      </c>
      <c r="Z8" s="171">
        <f t="shared" ref="Z8:Z39" si="10">+X8+Y8</f>
        <v>353855.61</v>
      </c>
      <c r="AA8" s="48">
        <v>362749.97000000003</v>
      </c>
      <c r="AB8" s="238">
        <f t="shared" ref="AB8:AB71" si="11">IF(+Z8-AA8&lt;0,0,(+Z8-AA8))</f>
        <v>0</v>
      </c>
      <c r="AC8" s="238">
        <v>353454.04000000004</v>
      </c>
      <c r="AD8" s="171">
        <f t="shared" ref="AD8:AD39" si="12">+AB8+AC8</f>
        <v>353454.04000000004</v>
      </c>
      <c r="AE8" s="238"/>
      <c r="AF8" s="238">
        <f t="shared" ref="AF8:AF71" si="13">+AH8-B8</f>
        <v>0</v>
      </c>
      <c r="AG8" s="196">
        <v>1</v>
      </c>
      <c r="AH8" s="73" t="s">
        <v>297</v>
      </c>
      <c r="AI8" s="139" t="s">
        <v>298</v>
      </c>
      <c r="AJ8" s="238">
        <f t="shared" ref="AJ8:AJ71" si="14">+AL8-B8</f>
        <v>0</v>
      </c>
      <c r="AK8" s="238"/>
      <c r="AL8" s="358" t="s">
        <v>297</v>
      </c>
      <c r="AM8" s="48">
        <v>362749.97000000003</v>
      </c>
      <c r="AN8" s="238" t="s">
        <v>297</v>
      </c>
      <c r="AO8" s="238">
        <v>353454.04000000004</v>
      </c>
      <c r="AQ8" s="472">
        <f t="shared" ref="AQ8:AQ71" si="15">+AS8-B8</f>
        <v>0</v>
      </c>
      <c r="AS8" t="s">
        <v>297</v>
      </c>
      <c r="AT8" t="s">
        <v>1728</v>
      </c>
      <c r="AU8" s="48">
        <v>207182.73</v>
      </c>
      <c r="AV8" s="48">
        <v>20632.400000000001</v>
      </c>
      <c r="AW8" s="48">
        <v>10071.84</v>
      </c>
      <c r="AX8" s="48">
        <v>6427.29</v>
      </c>
      <c r="AY8" s="48">
        <v>61686.64</v>
      </c>
      <c r="AZ8" s="48">
        <v>20863.650000000001</v>
      </c>
      <c r="BA8" s="48">
        <v>13750.31</v>
      </c>
      <c r="BB8" s="48">
        <v>11500.99</v>
      </c>
      <c r="BC8" s="48">
        <v>1338.19</v>
      </c>
      <c r="BD8" s="48">
        <v>0</v>
      </c>
      <c r="BE8" s="48"/>
      <c r="BF8" s="48">
        <f t="shared" si="3"/>
        <v>353454.04000000004</v>
      </c>
      <c r="BG8" s="48"/>
      <c r="BH8" s="48"/>
      <c r="BI8" s="48" t="str">
        <f t="shared" ref="BI8:BI71" si="16">TEXT(AS8, "00000")</f>
        <v>14005</v>
      </c>
      <c r="BJ8" s="48">
        <f t="shared" ref="BJ8:BJ71" si="17">BF8</f>
        <v>353454.04000000004</v>
      </c>
      <c r="BK8" s="628">
        <f t="shared" ref="BK8:BK71" si="18">+BI8-B8</f>
        <v>0</v>
      </c>
    </row>
    <row r="9" spans="1:63">
      <c r="A9" s="196">
        <v>2</v>
      </c>
      <c r="B9" s="73" t="s">
        <v>424</v>
      </c>
      <c r="C9" s="139" t="s">
        <v>425</v>
      </c>
      <c r="D9" s="168">
        <v>0</v>
      </c>
      <c r="E9" s="170">
        <v>39549.07</v>
      </c>
      <c r="F9" s="171">
        <f t="shared" si="4"/>
        <v>39549.07</v>
      </c>
      <c r="G9" s="181">
        <v>35521.78</v>
      </c>
      <c r="H9" s="178">
        <v>4027.2900000000009</v>
      </c>
      <c r="I9" s="170">
        <v>54665.869999999995</v>
      </c>
      <c r="J9" s="171">
        <f t="shared" si="5"/>
        <v>58693.159999999996</v>
      </c>
      <c r="K9" s="202">
        <v>65238.89</v>
      </c>
      <c r="L9" s="171">
        <v>0</v>
      </c>
      <c r="M9" s="197">
        <v>58486.439999999995</v>
      </c>
      <c r="N9" s="171">
        <f t="shared" si="6"/>
        <v>58486.439999999995</v>
      </c>
      <c r="O9" s="202">
        <v>63104.67</v>
      </c>
      <c r="P9" s="238">
        <v>0</v>
      </c>
      <c r="Q9" s="197">
        <v>64225.45</v>
      </c>
      <c r="R9" s="171">
        <f t="shared" si="7"/>
        <v>64225.45</v>
      </c>
      <c r="S9" s="202">
        <v>58203.87</v>
      </c>
      <c r="T9" s="238">
        <v>6021.5799999999945</v>
      </c>
      <c r="U9" s="238">
        <v>63495.859999999993</v>
      </c>
      <c r="V9" s="171">
        <f t="shared" si="8"/>
        <v>69517.439999999988</v>
      </c>
      <c r="W9" s="56">
        <v>60413.670000000006</v>
      </c>
      <c r="X9" s="568">
        <f t="shared" si="9"/>
        <v>9103.7699999999822</v>
      </c>
      <c r="Y9" s="569">
        <v>66264.62</v>
      </c>
      <c r="Z9" s="171">
        <f t="shared" si="10"/>
        <v>75368.389999999985</v>
      </c>
      <c r="AA9" s="48">
        <v>61999.880000000005</v>
      </c>
      <c r="AB9" s="238">
        <f t="shared" si="11"/>
        <v>13368.50999999998</v>
      </c>
      <c r="AC9" s="238">
        <v>67265.140000000014</v>
      </c>
      <c r="AD9" s="171">
        <f t="shared" si="12"/>
        <v>80633.649999999994</v>
      </c>
      <c r="AE9" s="238"/>
      <c r="AF9" s="238">
        <f t="shared" si="13"/>
        <v>0</v>
      </c>
      <c r="AG9" s="196">
        <v>2</v>
      </c>
      <c r="AH9" s="73" t="s">
        <v>424</v>
      </c>
      <c r="AI9" s="139" t="s">
        <v>425</v>
      </c>
      <c r="AJ9" s="238">
        <f t="shared" si="14"/>
        <v>0</v>
      </c>
      <c r="AK9" s="238"/>
      <c r="AL9" s="358" t="s">
        <v>424</v>
      </c>
      <c r="AM9" s="48">
        <v>61999.880000000005</v>
      </c>
      <c r="AN9" s="238" t="s">
        <v>424</v>
      </c>
      <c r="AO9" s="238">
        <v>67265.140000000014</v>
      </c>
      <c r="AQ9" s="472">
        <f t="shared" si="15"/>
        <v>0</v>
      </c>
      <c r="AS9" t="s">
        <v>424</v>
      </c>
      <c r="AT9" t="s">
        <v>1795</v>
      </c>
      <c r="AU9" s="48">
        <v>53598.55</v>
      </c>
      <c r="AV9" s="48">
        <v>4287.37</v>
      </c>
      <c r="AW9" s="48">
        <v>936.36</v>
      </c>
      <c r="AX9" s="48">
        <v>0</v>
      </c>
      <c r="AY9" s="48">
        <v>6566.93</v>
      </c>
      <c r="AZ9" s="48">
        <v>1582.52</v>
      </c>
      <c r="BA9" s="48">
        <v>0</v>
      </c>
      <c r="BB9" s="48">
        <v>0</v>
      </c>
      <c r="BC9" s="48">
        <v>293.41000000000003</v>
      </c>
      <c r="BD9" s="48">
        <v>0</v>
      </c>
      <c r="BE9" s="48"/>
      <c r="BF9" s="48">
        <f t="shared" si="3"/>
        <v>67265.140000000014</v>
      </c>
      <c r="BG9" s="48"/>
      <c r="BH9" s="48"/>
      <c r="BI9" s="48" t="str">
        <f t="shared" si="16"/>
        <v>21226</v>
      </c>
      <c r="BJ9" s="48">
        <f t="shared" si="17"/>
        <v>67265.140000000014</v>
      </c>
      <c r="BK9" s="628">
        <f t="shared" si="18"/>
        <v>0</v>
      </c>
    </row>
    <row r="10" spans="1:63">
      <c r="A10" s="196">
        <v>3</v>
      </c>
      <c r="B10" s="73" t="s">
        <v>446</v>
      </c>
      <c r="C10" s="139" t="s">
        <v>447</v>
      </c>
      <c r="D10" s="168">
        <v>0</v>
      </c>
      <c r="E10" s="170">
        <v>13204.449999999999</v>
      </c>
      <c r="F10" s="171">
        <f t="shared" si="4"/>
        <v>13204.449999999999</v>
      </c>
      <c r="G10" s="181">
        <v>2509.5500000000002</v>
      </c>
      <c r="H10" s="178">
        <v>10694.899999999998</v>
      </c>
      <c r="I10" s="170">
        <v>20031.070000000003</v>
      </c>
      <c r="J10" s="171">
        <f t="shared" si="5"/>
        <v>30725.97</v>
      </c>
      <c r="K10" s="202">
        <v>3893.6</v>
      </c>
      <c r="L10" s="171">
        <v>26832.370000000003</v>
      </c>
      <c r="M10" s="197">
        <v>21333.45</v>
      </c>
      <c r="N10" s="171">
        <f t="shared" si="6"/>
        <v>48165.820000000007</v>
      </c>
      <c r="O10" s="202">
        <v>894.51</v>
      </c>
      <c r="P10" s="238">
        <v>47271.310000000005</v>
      </c>
      <c r="Q10" s="197">
        <v>22579.13</v>
      </c>
      <c r="R10" s="171">
        <f t="shared" si="7"/>
        <v>69850.44</v>
      </c>
      <c r="S10" s="202">
        <v>13370.42</v>
      </c>
      <c r="T10" s="238">
        <v>56480.020000000004</v>
      </c>
      <c r="U10" s="238">
        <v>22305.48</v>
      </c>
      <c r="V10" s="171">
        <f t="shared" si="8"/>
        <v>78785.5</v>
      </c>
      <c r="W10" s="56">
        <v>16769.11</v>
      </c>
      <c r="X10" s="568">
        <f t="shared" si="9"/>
        <v>62016.39</v>
      </c>
      <c r="Y10" s="569">
        <v>23377.040000000001</v>
      </c>
      <c r="Z10" s="171">
        <f t="shared" si="10"/>
        <v>85393.43</v>
      </c>
      <c r="AA10" s="48">
        <v>21872.18</v>
      </c>
      <c r="AB10" s="238">
        <f t="shared" si="11"/>
        <v>63521.249999999993</v>
      </c>
      <c r="AC10" s="238">
        <v>22444.459999999995</v>
      </c>
      <c r="AD10" s="171">
        <f t="shared" si="12"/>
        <v>85965.709999999992</v>
      </c>
      <c r="AE10" s="238"/>
      <c r="AF10" s="238">
        <f t="shared" si="13"/>
        <v>0</v>
      </c>
      <c r="AG10" s="196">
        <v>3</v>
      </c>
      <c r="AH10" s="73" t="s">
        <v>446</v>
      </c>
      <c r="AI10" s="139" t="s">
        <v>447</v>
      </c>
      <c r="AJ10" s="238">
        <f t="shared" si="14"/>
        <v>0</v>
      </c>
      <c r="AK10" s="238"/>
      <c r="AL10" s="358" t="s">
        <v>446</v>
      </c>
      <c r="AM10" s="48">
        <v>21872.18</v>
      </c>
      <c r="AN10" s="238" t="s">
        <v>446</v>
      </c>
      <c r="AO10" s="238">
        <v>22444.459999999995</v>
      </c>
      <c r="AQ10" s="472">
        <f t="shared" si="15"/>
        <v>0</v>
      </c>
      <c r="AS10" t="s">
        <v>446</v>
      </c>
      <c r="AT10" t="s">
        <v>1806</v>
      </c>
      <c r="AU10" s="48">
        <v>19918.599999999999</v>
      </c>
      <c r="AV10" s="48">
        <v>667.55</v>
      </c>
      <c r="AW10" s="48">
        <v>81.709999999999994</v>
      </c>
      <c r="AX10" s="48">
        <v>0</v>
      </c>
      <c r="AY10" s="48">
        <v>1280.18</v>
      </c>
      <c r="AZ10" s="48">
        <v>450.17</v>
      </c>
      <c r="BA10" s="48">
        <v>0</v>
      </c>
      <c r="BB10" s="48">
        <v>0</v>
      </c>
      <c r="BC10" s="48">
        <v>46.25</v>
      </c>
      <c r="BD10" s="48">
        <v>0</v>
      </c>
      <c r="BE10" s="48"/>
      <c r="BF10" s="48">
        <f t="shared" si="3"/>
        <v>22444.459999999995</v>
      </c>
      <c r="BG10" s="48"/>
      <c r="BH10" s="48"/>
      <c r="BI10" s="48" t="str">
        <f t="shared" si="16"/>
        <v>22017</v>
      </c>
      <c r="BJ10" s="48">
        <f t="shared" si="17"/>
        <v>22444.459999999995</v>
      </c>
      <c r="BK10" s="628">
        <f t="shared" si="18"/>
        <v>0</v>
      </c>
    </row>
    <row r="11" spans="1:63">
      <c r="A11" s="196">
        <v>4</v>
      </c>
      <c r="B11" s="73" t="s">
        <v>548</v>
      </c>
      <c r="C11" s="139" t="s">
        <v>549</v>
      </c>
      <c r="D11" s="168">
        <v>0</v>
      </c>
      <c r="E11" s="170">
        <v>175788.77999999997</v>
      </c>
      <c r="F11" s="171">
        <f t="shared" si="4"/>
        <v>175788.77999999997</v>
      </c>
      <c r="G11" s="181">
        <v>343995.45</v>
      </c>
      <c r="H11" s="178">
        <v>0</v>
      </c>
      <c r="I11" s="170">
        <v>239784.36</v>
      </c>
      <c r="J11" s="171">
        <f t="shared" si="5"/>
        <v>239784.36</v>
      </c>
      <c r="K11" s="202">
        <v>317863.43</v>
      </c>
      <c r="L11" s="171">
        <v>0</v>
      </c>
      <c r="M11" s="197">
        <v>237721.8</v>
      </c>
      <c r="N11" s="171">
        <f t="shared" si="6"/>
        <v>237721.8</v>
      </c>
      <c r="O11" s="202">
        <v>326223.56000000006</v>
      </c>
      <c r="P11" s="238">
        <v>0</v>
      </c>
      <c r="Q11" s="197">
        <v>264780.55000000005</v>
      </c>
      <c r="R11" s="171">
        <f t="shared" si="7"/>
        <v>264780.55000000005</v>
      </c>
      <c r="S11" s="202">
        <v>349336.15</v>
      </c>
      <c r="T11" s="238">
        <v>0</v>
      </c>
      <c r="U11" s="238">
        <v>293624.25</v>
      </c>
      <c r="V11" s="171">
        <f t="shared" si="8"/>
        <v>293624.25</v>
      </c>
      <c r="W11" s="56">
        <v>347565.12000000005</v>
      </c>
      <c r="X11" s="568">
        <f t="shared" si="9"/>
        <v>0</v>
      </c>
      <c r="Y11" s="569">
        <v>307430.03999999998</v>
      </c>
      <c r="Z11" s="171">
        <f t="shared" si="10"/>
        <v>307430.03999999998</v>
      </c>
      <c r="AA11" s="48">
        <v>349638.21000000014</v>
      </c>
      <c r="AB11" s="238">
        <f t="shared" si="11"/>
        <v>0</v>
      </c>
      <c r="AC11" s="238">
        <v>305172.45</v>
      </c>
      <c r="AD11" s="171">
        <f t="shared" si="12"/>
        <v>305172.45</v>
      </c>
      <c r="AE11" s="238"/>
      <c r="AF11" s="238">
        <f t="shared" si="13"/>
        <v>0</v>
      </c>
      <c r="AG11" s="196">
        <v>4</v>
      </c>
      <c r="AH11" s="73" t="s">
        <v>548</v>
      </c>
      <c r="AI11" s="139" t="s">
        <v>549</v>
      </c>
      <c r="AJ11" s="238">
        <f t="shared" si="14"/>
        <v>0</v>
      </c>
      <c r="AK11" s="238"/>
      <c r="AL11" s="358" t="s">
        <v>548</v>
      </c>
      <c r="AM11" s="48">
        <v>349638.21000000014</v>
      </c>
      <c r="AN11" s="238" t="s">
        <v>548</v>
      </c>
      <c r="AO11" s="238">
        <v>305172.45</v>
      </c>
      <c r="AQ11" s="472">
        <f t="shared" si="15"/>
        <v>0</v>
      </c>
      <c r="AS11" t="s">
        <v>548</v>
      </c>
      <c r="AT11" t="s">
        <v>1856</v>
      </c>
      <c r="AU11" s="48">
        <v>234047.68</v>
      </c>
      <c r="AV11" s="48">
        <v>10689.01</v>
      </c>
      <c r="AW11" s="48">
        <v>3265.54</v>
      </c>
      <c r="AX11" s="48">
        <v>0</v>
      </c>
      <c r="AY11" s="48">
        <v>45050.52</v>
      </c>
      <c r="AZ11" s="48">
        <v>9102.74</v>
      </c>
      <c r="BA11" s="48">
        <v>248.58</v>
      </c>
      <c r="BB11" s="48">
        <v>1462.88</v>
      </c>
      <c r="BC11" s="48">
        <v>1305.5</v>
      </c>
      <c r="BD11" s="48">
        <v>0</v>
      </c>
      <c r="BE11" s="48"/>
      <c r="BF11" s="48">
        <f t="shared" si="3"/>
        <v>305172.45</v>
      </c>
      <c r="BG11" s="48"/>
      <c r="BH11" s="48"/>
      <c r="BI11" s="48" t="str">
        <f t="shared" si="16"/>
        <v>29103</v>
      </c>
      <c r="BJ11" s="48">
        <f t="shared" si="17"/>
        <v>305172.45</v>
      </c>
      <c r="BK11" s="628">
        <f t="shared" si="18"/>
        <v>0</v>
      </c>
    </row>
    <row r="12" spans="1:63">
      <c r="A12" s="196">
        <v>5</v>
      </c>
      <c r="B12" s="73" t="s">
        <v>572</v>
      </c>
      <c r="C12" s="139" t="s">
        <v>573</v>
      </c>
      <c r="D12" s="168">
        <v>10462.94000000009</v>
      </c>
      <c r="E12" s="170">
        <v>399146.57</v>
      </c>
      <c r="F12" s="171">
        <f t="shared" si="4"/>
        <v>409609.51000000013</v>
      </c>
      <c r="G12" s="181">
        <v>382702.78</v>
      </c>
      <c r="H12" s="178">
        <v>26906.730000000098</v>
      </c>
      <c r="I12" s="170">
        <v>547695.9</v>
      </c>
      <c r="J12" s="171">
        <f t="shared" si="5"/>
        <v>574602.63000000012</v>
      </c>
      <c r="K12" s="202">
        <v>606157.09000000008</v>
      </c>
      <c r="L12" s="171">
        <v>0</v>
      </c>
      <c r="M12" s="197">
        <v>542520.91</v>
      </c>
      <c r="N12" s="171">
        <f t="shared" si="6"/>
        <v>542520.91</v>
      </c>
      <c r="O12" s="202">
        <v>569298.42000000004</v>
      </c>
      <c r="P12" s="238">
        <v>0</v>
      </c>
      <c r="Q12" s="197">
        <v>589501.20000000007</v>
      </c>
      <c r="R12" s="171">
        <f t="shared" si="7"/>
        <v>589501.20000000007</v>
      </c>
      <c r="S12" s="202">
        <v>648338.15</v>
      </c>
      <c r="T12" s="238">
        <v>0</v>
      </c>
      <c r="U12" s="238">
        <v>628021.56999999995</v>
      </c>
      <c r="V12" s="171">
        <f t="shared" si="8"/>
        <v>628021.56999999995</v>
      </c>
      <c r="W12" s="56">
        <v>637070.46999999986</v>
      </c>
      <c r="X12" s="568">
        <f t="shared" si="9"/>
        <v>0</v>
      </c>
      <c r="Y12" s="569">
        <v>676299.96000000008</v>
      </c>
      <c r="Z12" s="171">
        <f t="shared" si="10"/>
        <v>676299.96000000008</v>
      </c>
      <c r="AA12" s="48">
        <v>647235.71999999974</v>
      </c>
      <c r="AB12" s="238">
        <f t="shared" si="11"/>
        <v>29064.24000000034</v>
      </c>
      <c r="AC12" s="238">
        <v>651445.42000000004</v>
      </c>
      <c r="AD12" s="171">
        <f t="shared" si="12"/>
        <v>680509.66000000038</v>
      </c>
      <c r="AE12" s="238"/>
      <c r="AF12" s="238">
        <f t="shared" si="13"/>
        <v>0</v>
      </c>
      <c r="AG12" s="196">
        <v>5</v>
      </c>
      <c r="AH12" s="73" t="s">
        <v>572</v>
      </c>
      <c r="AI12" s="139" t="s">
        <v>573</v>
      </c>
      <c r="AJ12" s="238">
        <f t="shared" si="14"/>
        <v>0</v>
      </c>
      <c r="AK12" s="238"/>
      <c r="AL12" s="358" t="s">
        <v>572</v>
      </c>
      <c r="AM12" s="48">
        <v>647235.71999999974</v>
      </c>
      <c r="AN12" s="238" t="s">
        <v>572</v>
      </c>
      <c r="AO12" s="238">
        <v>651445.42000000004</v>
      </c>
      <c r="AQ12" s="472">
        <f t="shared" si="15"/>
        <v>0</v>
      </c>
      <c r="AS12" t="s">
        <v>572</v>
      </c>
      <c r="AT12" t="s">
        <v>1868</v>
      </c>
      <c r="AU12" s="48">
        <v>473920.05</v>
      </c>
      <c r="AV12" s="48">
        <v>37331.949999999997</v>
      </c>
      <c r="AW12" s="48">
        <v>3548.1</v>
      </c>
      <c r="AX12" s="48">
        <v>0</v>
      </c>
      <c r="AY12" s="48">
        <v>97834.38</v>
      </c>
      <c r="AZ12" s="48">
        <v>24716.880000000001</v>
      </c>
      <c r="BA12" s="48">
        <v>806.55</v>
      </c>
      <c r="BB12" s="48">
        <v>10492.3</v>
      </c>
      <c r="BC12" s="48">
        <v>2795.21</v>
      </c>
      <c r="BD12" s="48">
        <v>0</v>
      </c>
      <c r="BE12" s="48"/>
      <c r="BF12" s="48">
        <f t="shared" si="3"/>
        <v>651445.42000000004</v>
      </c>
      <c r="BG12" s="48"/>
      <c r="BH12" s="48"/>
      <c r="BI12" s="48" t="str">
        <f t="shared" si="16"/>
        <v>31016</v>
      </c>
      <c r="BJ12" s="48">
        <f t="shared" si="17"/>
        <v>651445.42000000004</v>
      </c>
      <c r="BK12" s="628">
        <f t="shared" si="18"/>
        <v>0</v>
      </c>
    </row>
    <row r="13" spans="1:63">
      <c r="A13" s="196">
        <v>6</v>
      </c>
      <c r="B13" s="73" t="s">
        <v>175</v>
      </c>
      <c r="C13" s="139" t="s">
        <v>176</v>
      </c>
      <c r="D13" s="168">
        <v>588.37000000000262</v>
      </c>
      <c r="E13" s="170">
        <v>37704.5</v>
      </c>
      <c r="F13" s="171">
        <f t="shared" si="4"/>
        <v>38292.870000000003</v>
      </c>
      <c r="G13" s="181">
        <v>38172.629999999997</v>
      </c>
      <c r="H13" s="178">
        <v>120.24000000000524</v>
      </c>
      <c r="I13" s="170">
        <v>59746.350000000006</v>
      </c>
      <c r="J13" s="171">
        <f t="shared" si="5"/>
        <v>59866.590000000011</v>
      </c>
      <c r="K13" s="202">
        <v>61433.119999999995</v>
      </c>
      <c r="L13" s="171">
        <v>0</v>
      </c>
      <c r="M13" s="197">
        <v>60272.929999999993</v>
      </c>
      <c r="N13" s="171">
        <f t="shared" si="6"/>
        <v>60272.929999999993</v>
      </c>
      <c r="O13" s="202">
        <v>59117.919999999998</v>
      </c>
      <c r="P13" s="238">
        <v>1155.0099999999948</v>
      </c>
      <c r="Q13" s="197">
        <v>64172.84</v>
      </c>
      <c r="R13" s="171">
        <f t="shared" si="7"/>
        <v>65327.849999999991</v>
      </c>
      <c r="S13" s="202">
        <v>62181.279999999999</v>
      </c>
      <c r="T13" s="238">
        <v>3146.5699999999924</v>
      </c>
      <c r="U13" s="238">
        <v>59627.649999999994</v>
      </c>
      <c r="V13" s="171">
        <f t="shared" si="8"/>
        <v>62774.219999999987</v>
      </c>
      <c r="W13" s="56">
        <v>65057.49000000002</v>
      </c>
      <c r="X13" s="568">
        <f t="shared" si="9"/>
        <v>0</v>
      </c>
      <c r="Y13" s="569">
        <v>71067.470000000016</v>
      </c>
      <c r="Z13" s="171">
        <f t="shared" si="10"/>
        <v>71067.470000000016</v>
      </c>
      <c r="AA13" s="48">
        <v>66436.640000000014</v>
      </c>
      <c r="AB13" s="238">
        <f t="shared" si="11"/>
        <v>4630.8300000000017</v>
      </c>
      <c r="AC13" s="238">
        <v>74448.08</v>
      </c>
      <c r="AD13" s="171">
        <f t="shared" si="12"/>
        <v>79078.91</v>
      </c>
      <c r="AE13" s="238"/>
      <c r="AF13" s="238">
        <f t="shared" si="13"/>
        <v>0</v>
      </c>
      <c r="AG13" s="196">
        <v>6</v>
      </c>
      <c r="AH13" s="73" t="s">
        <v>175</v>
      </c>
      <c r="AI13" s="139" t="s">
        <v>176</v>
      </c>
      <c r="AJ13" s="238">
        <f t="shared" si="14"/>
        <v>0</v>
      </c>
      <c r="AK13" s="238"/>
      <c r="AL13" s="358" t="s">
        <v>175</v>
      </c>
      <c r="AM13" s="48">
        <v>66436.640000000014</v>
      </c>
      <c r="AN13" s="238" t="s">
        <v>175</v>
      </c>
      <c r="AO13" s="238">
        <v>74448.08</v>
      </c>
      <c r="AQ13" s="472">
        <f t="shared" si="15"/>
        <v>0</v>
      </c>
      <c r="AS13" t="s">
        <v>175</v>
      </c>
      <c r="AT13" t="s">
        <v>1665</v>
      </c>
      <c r="AU13" s="48">
        <v>54022.26</v>
      </c>
      <c r="AV13" s="48">
        <v>4019.18</v>
      </c>
      <c r="AW13" s="48">
        <v>132.58000000000001</v>
      </c>
      <c r="AX13" s="48">
        <v>0</v>
      </c>
      <c r="AY13" s="48">
        <v>10156.65</v>
      </c>
      <c r="AZ13" s="48">
        <v>2378.8200000000002</v>
      </c>
      <c r="BA13" s="48">
        <v>0</v>
      </c>
      <c r="BB13" s="48">
        <v>0</v>
      </c>
      <c r="BC13" s="48">
        <v>277.5</v>
      </c>
      <c r="BD13" s="48">
        <v>3461.09</v>
      </c>
      <c r="BE13" s="48"/>
      <c r="BF13" s="48">
        <f t="shared" si="3"/>
        <v>74448.08</v>
      </c>
      <c r="BG13" s="48"/>
      <c r="BH13" s="48"/>
      <c r="BI13" s="48" t="str">
        <f t="shared" si="16"/>
        <v>02420</v>
      </c>
      <c r="BJ13" s="48">
        <f t="shared" si="17"/>
        <v>74448.08</v>
      </c>
      <c r="BK13" s="628">
        <f t="shared" si="18"/>
        <v>0</v>
      </c>
    </row>
    <row r="14" spans="1:63">
      <c r="A14" s="196">
        <v>7</v>
      </c>
      <c r="B14" s="73" t="s">
        <v>97</v>
      </c>
      <c r="C14" s="139" t="s">
        <v>360</v>
      </c>
      <c r="D14" s="168">
        <v>13096.360000000102</v>
      </c>
      <c r="E14" s="170">
        <v>1282819.8699999999</v>
      </c>
      <c r="F14" s="171">
        <f t="shared" si="4"/>
        <v>1295916.23</v>
      </c>
      <c r="G14" s="181">
        <v>723273.16</v>
      </c>
      <c r="H14" s="178">
        <v>572643.06999999995</v>
      </c>
      <c r="I14" s="170">
        <v>1850391.1</v>
      </c>
      <c r="J14" s="171">
        <f t="shared" si="5"/>
        <v>2423034.17</v>
      </c>
      <c r="K14" s="202">
        <v>565011.19000000006</v>
      </c>
      <c r="L14" s="171">
        <v>1858022.98</v>
      </c>
      <c r="M14" s="197">
        <v>1872584.93</v>
      </c>
      <c r="N14" s="171">
        <f t="shared" si="6"/>
        <v>3730607.91</v>
      </c>
      <c r="O14" s="202">
        <v>410067.67</v>
      </c>
      <c r="P14" s="238">
        <v>3320540.24</v>
      </c>
      <c r="Q14" s="197">
        <v>2080316.4700000002</v>
      </c>
      <c r="R14" s="171">
        <f t="shared" si="7"/>
        <v>5400856.7100000009</v>
      </c>
      <c r="S14" s="202">
        <v>1534940.28</v>
      </c>
      <c r="T14" s="238">
        <v>3865916.4300000006</v>
      </c>
      <c r="U14" s="238">
        <v>2113021.5499999998</v>
      </c>
      <c r="V14" s="171">
        <f t="shared" si="8"/>
        <v>5978937.9800000004</v>
      </c>
      <c r="W14" s="56">
        <v>1753711.6199999996</v>
      </c>
      <c r="X14" s="568">
        <f t="shared" si="9"/>
        <v>4225226.3600000013</v>
      </c>
      <c r="Y14" s="569">
        <v>2221252.9300000002</v>
      </c>
      <c r="Z14" s="171">
        <f t="shared" si="10"/>
        <v>6446479.290000001</v>
      </c>
      <c r="AA14" s="48">
        <v>2265313.6100000003</v>
      </c>
      <c r="AB14" s="238">
        <f t="shared" si="11"/>
        <v>4181165.6800000006</v>
      </c>
      <c r="AC14" s="238">
        <v>2183424.2099999995</v>
      </c>
      <c r="AD14" s="171">
        <f t="shared" si="12"/>
        <v>6364589.8900000006</v>
      </c>
      <c r="AE14" s="238"/>
      <c r="AF14" s="238">
        <f t="shared" si="13"/>
        <v>0</v>
      </c>
      <c r="AG14" s="196">
        <v>7</v>
      </c>
      <c r="AH14" s="73" t="s">
        <v>97</v>
      </c>
      <c r="AI14" s="139" t="s">
        <v>360</v>
      </c>
      <c r="AJ14" s="238">
        <f t="shared" si="14"/>
        <v>0</v>
      </c>
      <c r="AK14" s="238"/>
      <c r="AL14" s="358" t="s">
        <v>97</v>
      </c>
      <c r="AM14" s="48">
        <v>2265313.6100000003</v>
      </c>
      <c r="AN14" s="238" t="s">
        <v>97</v>
      </c>
      <c r="AO14" s="238">
        <v>2183424.2099999995</v>
      </c>
      <c r="AQ14" s="472">
        <f t="shared" si="15"/>
        <v>0</v>
      </c>
      <c r="AS14" t="s">
        <v>97</v>
      </c>
      <c r="AT14" t="s">
        <v>1760</v>
      </c>
      <c r="AU14" s="48">
        <v>1505143.42</v>
      </c>
      <c r="AV14" s="48">
        <v>79463.990000000005</v>
      </c>
      <c r="AW14" s="48">
        <v>21823.63</v>
      </c>
      <c r="AX14" s="48">
        <v>0</v>
      </c>
      <c r="AY14" s="48">
        <v>224855.52</v>
      </c>
      <c r="AZ14" s="48">
        <v>109508.4</v>
      </c>
      <c r="BA14" s="48">
        <v>64792.3</v>
      </c>
      <c r="BB14" s="48">
        <v>149716.09</v>
      </c>
      <c r="BC14" s="48">
        <v>8495.31</v>
      </c>
      <c r="BD14" s="48">
        <v>19625.55</v>
      </c>
      <c r="BE14" s="48"/>
      <c r="BF14" s="48">
        <f t="shared" si="3"/>
        <v>2183424.2099999995</v>
      </c>
      <c r="BG14" s="48"/>
      <c r="BH14" s="48"/>
      <c r="BI14" s="48" t="str">
        <f t="shared" si="16"/>
        <v>17408</v>
      </c>
      <c r="BJ14" s="48">
        <f t="shared" si="17"/>
        <v>2183424.2099999995</v>
      </c>
      <c r="BK14" s="628">
        <f t="shared" si="18"/>
        <v>0</v>
      </c>
    </row>
    <row r="15" spans="1:63">
      <c r="A15" s="196">
        <v>8</v>
      </c>
      <c r="B15" s="73" t="s">
        <v>376</v>
      </c>
      <c r="C15" s="139" t="s">
        <v>377</v>
      </c>
      <c r="D15" s="168">
        <v>0</v>
      </c>
      <c r="E15" s="170">
        <v>251833.88999999998</v>
      </c>
      <c r="F15" s="171">
        <f t="shared" si="4"/>
        <v>251833.88999999998</v>
      </c>
      <c r="G15" s="181">
        <v>290595.01</v>
      </c>
      <c r="H15" s="178">
        <v>0</v>
      </c>
      <c r="I15" s="170">
        <v>342775.97999999992</v>
      </c>
      <c r="J15" s="171">
        <f t="shared" si="5"/>
        <v>342775.97999999992</v>
      </c>
      <c r="K15" s="202">
        <v>480337.08999999997</v>
      </c>
      <c r="L15" s="171">
        <v>0</v>
      </c>
      <c r="M15" s="197">
        <v>353654.44999999995</v>
      </c>
      <c r="N15" s="171">
        <f t="shared" si="6"/>
        <v>353654.44999999995</v>
      </c>
      <c r="O15" s="202">
        <v>435041.71000000008</v>
      </c>
      <c r="P15" s="238">
        <v>0</v>
      </c>
      <c r="Q15" s="197">
        <v>382050.65</v>
      </c>
      <c r="R15" s="171">
        <f t="shared" si="7"/>
        <v>382050.65</v>
      </c>
      <c r="S15" s="202">
        <v>478035.76</v>
      </c>
      <c r="T15" s="238">
        <v>0</v>
      </c>
      <c r="U15" s="238">
        <v>397144.26999999996</v>
      </c>
      <c r="V15" s="171">
        <f t="shared" si="8"/>
        <v>397144.26999999996</v>
      </c>
      <c r="W15" s="56">
        <v>397144.26999999996</v>
      </c>
      <c r="X15" s="568">
        <f t="shared" si="9"/>
        <v>0</v>
      </c>
      <c r="Y15" s="569">
        <v>416453.84999999992</v>
      </c>
      <c r="Z15" s="171">
        <f t="shared" si="10"/>
        <v>416453.84999999992</v>
      </c>
      <c r="AA15" s="48">
        <v>414321.56999999995</v>
      </c>
      <c r="AB15" s="238">
        <f t="shared" si="11"/>
        <v>2132.2799999999697</v>
      </c>
      <c r="AC15" s="238">
        <v>379370.76</v>
      </c>
      <c r="AD15" s="171">
        <f t="shared" si="12"/>
        <v>381503.04</v>
      </c>
      <c r="AE15" s="238"/>
      <c r="AF15" s="238">
        <f t="shared" si="13"/>
        <v>0</v>
      </c>
      <c r="AG15" s="196">
        <v>8</v>
      </c>
      <c r="AH15" s="73" t="s">
        <v>376</v>
      </c>
      <c r="AI15" s="139" t="s">
        <v>377</v>
      </c>
      <c r="AJ15" s="238">
        <f t="shared" si="14"/>
        <v>0</v>
      </c>
      <c r="AK15" s="238"/>
      <c r="AL15" s="358" t="s">
        <v>376</v>
      </c>
      <c r="AM15" s="48">
        <v>414321.56999999995</v>
      </c>
      <c r="AN15" s="238" t="s">
        <v>376</v>
      </c>
      <c r="AO15" s="238">
        <v>379370.76</v>
      </c>
      <c r="AQ15" s="472">
        <f t="shared" si="15"/>
        <v>0</v>
      </c>
      <c r="AS15" t="s">
        <v>376</v>
      </c>
      <c r="AT15" t="s">
        <v>1770</v>
      </c>
      <c r="AU15" s="48">
        <v>302688.44</v>
      </c>
      <c r="AV15" s="48">
        <v>31124.44</v>
      </c>
      <c r="AW15" s="48">
        <v>5392.42</v>
      </c>
      <c r="AX15" s="48">
        <v>0</v>
      </c>
      <c r="AY15" s="48">
        <v>32179.34</v>
      </c>
      <c r="AZ15" s="48">
        <v>4623.1499999999996</v>
      </c>
      <c r="BA15" s="48">
        <v>0</v>
      </c>
      <c r="BB15" s="48">
        <v>1546.06</v>
      </c>
      <c r="BC15" s="48">
        <v>1816.91</v>
      </c>
      <c r="BD15" s="48">
        <v>0</v>
      </c>
      <c r="BE15" s="48"/>
      <c r="BF15" s="48">
        <f t="shared" si="3"/>
        <v>379370.76</v>
      </c>
      <c r="BG15" s="48"/>
      <c r="BH15" s="48"/>
      <c r="BI15" s="48" t="str">
        <f t="shared" si="16"/>
        <v>18303</v>
      </c>
      <c r="BJ15" s="48">
        <f t="shared" si="17"/>
        <v>379370.76</v>
      </c>
      <c r="BK15" s="628">
        <f t="shared" si="18"/>
        <v>0</v>
      </c>
    </row>
    <row r="16" spans="1:63">
      <c r="A16" s="196">
        <v>9</v>
      </c>
      <c r="B16" s="73" t="s">
        <v>225</v>
      </c>
      <c r="C16" s="139" t="s">
        <v>226</v>
      </c>
      <c r="D16" s="168">
        <v>180656.74</v>
      </c>
      <c r="E16" s="170">
        <v>735047.54</v>
      </c>
      <c r="F16" s="171">
        <f t="shared" si="4"/>
        <v>915704.28</v>
      </c>
      <c r="G16" s="181">
        <v>546286.39</v>
      </c>
      <c r="H16" s="178">
        <v>369417.89</v>
      </c>
      <c r="I16" s="170">
        <v>944857.62999999989</v>
      </c>
      <c r="J16" s="171">
        <f t="shared" si="5"/>
        <v>1314275.52</v>
      </c>
      <c r="K16" s="202">
        <v>1141487.2000000002</v>
      </c>
      <c r="L16" s="171">
        <v>172788.31999999983</v>
      </c>
      <c r="M16" s="197">
        <v>993802.53</v>
      </c>
      <c r="N16" s="171">
        <f t="shared" si="6"/>
        <v>1166590.8499999999</v>
      </c>
      <c r="O16" s="202">
        <v>620940.84999999986</v>
      </c>
      <c r="P16" s="238">
        <v>545650</v>
      </c>
      <c r="Q16" s="197">
        <v>1131333.2</v>
      </c>
      <c r="R16" s="171">
        <f t="shared" si="7"/>
        <v>1676983.2</v>
      </c>
      <c r="S16" s="202">
        <v>1454648.6399999997</v>
      </c>
      <c r="T16" s="238">
        <v>222334.56000000029</v>
      </c>
      <c r="U16" s="238">
        <v>1211501.98</v>
      </c>
      <c r="V16" s="171">
        <f t="shared" si="8"/>
        <v>1433836.5400000003</v>
      </c>
      <c r="W16" s="56">
        <v>987100.27</v>
      </c>
      <c r="X16" s="568">
        <f t="shared" si="9"/>
        <v>446736.27000000025</v>
      </c>
      <c r="Y16" s="569">
        <v>1312818.2700000003</v>
      </c>
      <c r="Z16" s="171">
        <f t="shared" si="10"/>
        <v>1759554.5400000005</v>
      </c>
      <c r="AA16" s="48">
        <v>1020579.1399999998</v>
      </c>
      <c r="AB16" s="238">
        <f t="shared" si="11"/>
        <v>738975.40000000072</v>
      </c>
      <c r="AC16" s="238">
        <v>1287421.47</v>
      </c>
      <c r="AD16" s="171">
        <f t="shared" si="12"/>
        <v>2026396.8700000006</v>
      </c>
      <c r="AE16" s="238"/>
      <c r="AF16" s="238">
        <f t="shared" si="13"/>
        <v>0</v>
      </c>
      <c r="AG16" s="196">
        <v>9</v>
      </c>
      <c r="AH16" s="73" t="s">
        <v>225</v>
      </c>
      <c r="AI16" s="139" t="s">
        <v>226</v>
      </c>
      <c r="AJ16" s="238">
        <f t="shared" si="14"/>
        <v>0</v>
      </c>
      <c r="AK16" s="238"/>
      <c r="AL16" s="358" t="s">
        <v>225</v>
      </c>
      <c r="AM16" s="48">
        <v>1020579.1399999998</v>
      </c>
      <c r="AN16" s="238" t="s">
        <v>225</v>
      </c>
      <c r="AO16" s="238">
        <v>1287421.47</v>
      </c>
      <c r="AQ16" s="472">
        <f t="shared" si="15"/>
        <v>0</v>
      </c>
      <c r="AS16" t="s">
        <v>225</v>
      </c>
      <c r="AT16" t="s">
        <v>1692</v>
      </c>
      <c r="AU16" s="48">
        <v>881444.93</v>
      </c>
      <c r="AV16" s="48">
        <v>91092.9</v>
      </c>
      <c r="AW16" s="48">
        <v>6413.72</v>
      </c>
      <c r="AX16" s="48">
        <v>0</v>
      </c>
      <c r="AY16" s="48">
        <v>190034.7</v>
      </c>
      <c r="AZ16" s="48">
        <v>54063.9</v>
      </c>
      <c r="BA16" s="48">
        <v>3702.06</v>
      </c>
      <c r="BB16" s="48">
        <v>38836.800000000003</v>
      </c>
      <c r="BC16" s="48">
        <v>6038.95</v>
      </c>
      <c r="BD16" s="48">
        <v>15793.51</v>
      </c>
      <c r="BE16" s="48"/>
      <c r="BF16" s="48">
        <f t="shared" si="3"/>
        <v>1287421.47</v>
      </c>
      <c r="BG16" s="48"/>
      <c r="BH16" s="48"/>
      <c r="BI16" s="48" t="str">
        <f t="shared" si="16"/>
        <v>06119</v>
      </c>
      <c r="BJ16" s="48">
        <f t="shared" si="17"/>
        <v>1287421.47</v>
      </c>
      <c r="BK16" s="628">
        <f t="shared" si="18"/>
        <v>0</v>
      </c>
    </row>
    <row r="17" spans="1:63">
      <c r="A17" s="196">
        <v>10</v>
      </c>
      <c r="B17" s="73" t="s">
        <v>354</v>
      </c>
      <c r="C17" s="139" t="s">
        <v>355</v>
      </c>
      <c r="D17" s="168">
        <v>69719.280000000144</v>
      </c>
      <c r="E17" s="170">
        <v>1402931.35</v>
      </c>
      <c r="F17" s="171">
        <f t="shared" si="4"/>
        <v>1472650.6300000004</v>
      </c>
      <c r="G17" s="181">
        <v>1725033.79</v>
      </c>
      <c r="H17" s="178">
        <v>0</v>
      </c>
      <c r="I17" s="170">
        <v>1995367.2599999998</v>
      </c>
      <c r="J17" s="171">
        <f t="shared" si="5"/>
        <v>1995367.2599999998</v>
      </c>
      <c r="K17" s="202">
        <v>2308382.44</v>
      </c>
      <c r="L17" s="171">
        <v>0</v>
      </c>
      <c r="M17" s="197">
        <v>1891310.53</v>
      </c>
      <c r="N17" s="171">
        <f t="shared" si="6"/>
        <v>1891310.53</v>
      </c>
      <c r="O17" s="202">
        <v>2234498.31</v>
      </c>
      <c r="P17" s="238">
        <v>0</v>
      </c>
      <c r="Q17" s="197">
        <v>2071883.37</v>
      </c>
      <c r="R17" s="171">
        <f t="shared" si="7"/>
        <v>2071883.37</v>
      </c>
      <c r="S17" s="202">
        <v>2121738.0099999998</v>
      </c>
      <c r="T17" s="238">
        <v>0</v>
      </c>
      <c r="U17" s="238">
        <v>2165353.46</v>
      </c>
      <c r="V17" s="171">
        <f t="shared" si="8"/>
        <v>2165353.46</v>
      </c>
      <c r="W17" s="56">
        <v>892326.59000000067</v>
      </c>
      <c r="X17" s="568">
        <f t="shared" si="9"/>
        <v>1273026.8699999992</v>
      </c>
      <c r="Y17" s="569">
        <v>2340874.2399999998</v>
      </c>
      <c r="Z17" s="171">
        <f t="shared" si="10"/>
        <v>3613901.1099999989</v>
      </c>
      <c r="AA17" s="48">
        <v>3563630.8199999989</v>
      </c>
      <c r="AB17" s="238">
        <f t="shared" si="11"/>
        <v>50270.290000000037</v>
      </c>
      <c r="AC17" s="238">
        <v>2211402.6799999997</v>
      </c>
      <c r="AD17" s="171">
        <f t="shared" si="12"/>
        <v>2261672.9699999997</v>
      </c>
      <c r="AE17" s="238"/>
      <c r="AF17" s="238">
        <f t="shared" si="13"/>
        <v>0</v>
      </c>
      <c r="AG17" s="196">
        <v>10</v>
      </c>
      <c r="AH17" s="73" t="s">
        <v>354</v>
      </c>
      <c r="AI17" s="139" t="s">
        <v>355</v>
      </c>
      <c r="AJ17" s="238">
        <f t="shared" si="14"/>
        <v>0</v>
      </c>
      <c r="AK17" s="238"/>
      <c r="AL17" s="358" t="s">
        <v>354</v>
      </c>
      <c r="AM17" s="48">
        <v>3563630.8199999989</v>
      </c>
      <c r="AN17" s="238" t="s">
        <v>354</v>
      </c>
      <c r="AO17" s="238">
        <v>2211402.6799999997</v>
      </c>
      <c r="AQ17" s="472">
        <f t="shared" si="15"/>
        <v>0</v>
      </c>
      <c r="AS17" t="s">
        <v>354</v>
      </c>
      <c r="AT17" t="s">
        <v>1757</v>
      </c>
      <c r="AU17" s="48">
        <v>1765950.6</v>
      </c>
      <c r="AV17" s="48">
        <v>86380.65</v>
      </c>
      <c r="AW17" s="48">
        <v>23300.19</v>
      </c>
      <c r="AX17" s="48">
        <v>0</v>
      </c>
      <c r="AY17" s="48">
        <v>142607.72</v>
      </c>
      <c r="AZ17" s="48">
        <v>50826.38</v>
      </c>
      <c r="BA17" s="48">
        <v>10105.6</v>
      </c>
      <c r="BB17" s="48">
        <v>121842.14</v>
      </c>
      <c r="BC17" s="48">
        <v>10389.4</v>
      </c>
      <c r="BD17" s="48">
        <v>0</v>
      </c>
      <c r="BE17" s="48"/>
      <c r="BF17" s="48">
        <f t="shared" si="3"/>
        <v>2211402.6799999997</v>
      </c>
      <c r="BG17" s="48"/>
      <c r="BH17" s="48"/>
      <c r="BI17" s="48" t="str">
        <f t="shared" si="16"/>
        <v>17405</v>
      </c>
      <c r="BJ17" s="48">
        <f t="shared" si="17"/>
        <v>2211402.6799999997</v>
      </c>
      <c r="BK17" s="628">
        <f t="shared" si="18"/>
        <v>0</v>
      </c>
    </row>
    <row r="18" spans="1:63">
      <c r="A18" s="196">
        <v>11</v>
      </c>
      <c r="B18" s="73" t="s">
        <v>671</v>
      </c>
      <c r="C18" s="139" t="s">
        <v>672</v>
      </c>
      <c r="D18" s="168">
        <v>0</v>
      </c>
      <c r="E18" s="170">
        <v>781204.3600000001</v>
      </c>
      <c r="F18" s="171">
        <f t="shared" si="4"/>
        <v>781204.3600000001</v>
      </c>
      <c r="G18" s="181">
        <v>908454.25</v>
      </c>
      <c r="H18" s="178">
        <v>0</v>
      </c>
      <c r="I18" s="170">
        <v>1083382.06</v>
      </c>
      <c r="J18" s="171">
        <f t="shared" si="5"/>
        <v>1083382.06</v>
      </c>
      <c r="K18" s="202">
        <v>1050916.4999999998</v>
      </c>
      <c r="L18" s="171">
        <v>32465.560000000289</v>
      </c>
      <c r="M18" s="197">
        <v>1097833.1199999999</v>
      </c>
      <c r="N18" s="171">
        <f t="shared" si="6"/>
        <v>1130298.6800000002</v>
      </c>
      <c r="O18" s="202">
        <v>1137920.76</v>
      </c>
      <c r="P18" s="238">
        <v>0</v>
      </c>
      <c r="Q18" s="197">
        <v>1189284.3</v>
      </c>
      <c r="R18" s="171">
        <f t="shared" si="7"/>
        <v>1189284.3</v>
      </c>
      <c r="S18" s="202">
        <v>1189284.3499999999</v>
      </c>
      <c r="T18" s="238">
        <v>0</v>
      </c>
      <c r="U18" s="238">
        <v>1171407.3199999998</v>
      </c>
      <c r="V18" s="171">
        <f t="shared" si="8"/>
        <v>1171407.3199999998</v>
      </c>
      <c r="W18" s="56">
        <v>1201903.06</v>
      </c>
      <c r="X18" s="568">
        <f t="shared" si="9"/>
        <v>0</v>
      </c>
      <c r="Y18" s="569">
        <v>1252459.7899999998</v>
      </c>
      <c r="Z18" s="171">
        <f t="shared" si="10"/>
        <v>1252459.7899999998</v>
      </c>
      <c r="AA18" s="48">
        <v>1252459.8199999996</v>
      </c>
      <c r="AB18" s="238">
        <f t="shared" si="11"/>
        <v>0</v>
      </c>
      <c r="AC18" s="238">
        <v>1223672.06</v>
      </c>
      <c r="AD18" s="171">
        <f t="shared" si="12"/>
        <v>1223672.06</v>
      </c>
      <c r="AE18" s="238"/>
      <c r="AF18" s="238">
        <f t="shared" si="13"/>
        <v>0</v>
      </c>
      <c r="AG18" s="196">
        <v>11</v>
      </c>
      <c r="AH18" s="73" t="s">
        <v>671</v>
      </c>
      <c r="AI18" s="139" t="s">
        <v>672</v>
      </c>
      <c r="AJ18" s="238">
        <f t="shared" si="14"/>
        <v>0</v>
      </c>
      <c r="AK18" s="238"/>
      <c r="AL18" s="358" t="s">
        <v>671</v>
      </c>
      <c r="AM18" s="48">
        <v>1252459.8199999996</v>
      </c>
      <c r="AN18" s="238" t="s">
        <v>671</v>
      </c>
      <c r="AO18" s="238">
        <v>1223672.06</v>
      </c>
      <c r="AQ18" s="472">
        <f t="shared" si="15"/>
        <v>0</v>
      </c>
      <c r="AS18" t="s">
        <v>671</v>
      </c>
      <c r="AT18" t="s">
        <v>1921</v>
      </c>
      <c r="AU18" s="48">
        <v>790141.61</v>
      </c>
      <c r="AV18" s="48">
        <v>87442.16</v>
      </c>
      <c r="AW18" s="48">
        <v>53060.46</v>
      </c>
      <c r="AX18" s="48">
        <v>0</v>
      </c>
      <c r="AY18" s="48">
        <v>179386.34</v>
      </c>
      <c r="AZ18" s="48">
        <v>44033.22</v>
      </c>
      <c r="BA18" s="48">
        <v>9105.7000000000007</v>
      </c>
      <c r="BB18" s="48">
        <v>28555.81</v>
      </c>
      <c r="BC18" s="48">
        <v>5034.9399999999996</v>
      </c>
      <c r="BD18" s="48">
        <v>26911.82</v>
      </c>
      <c r="BE18" s="48"/>
      <c r="BF18" s="48">
        <f t="shared" si="3"/>
        <v>1223672.06</v>
      </c>
      <c r="BG18" s="48"/>
      <c r="BH18" s="48"/>
      <c r="BI18" s="48" t="str">
        <f t="shared" si="16"/>
        <v>37501</v>
      </c>
      <c r="BJ18" s="48">
        <f t="shared" si="17"/>
        <v>1223672.06</v>
      </c>
      <c r="BK18" s="628">
        <f t="shared" si="18"/>
        <v>0</v>
      </c>
    </row>
    <row r="19" spans="1:63">
      <c r="A19" s="196">
        <v>12</v>
      </c>
      <c r="B19" s="73" t="s">
        <v>165</v>
      </c>
      <c r="C19" s="139" t="s">
        <v>166</v>
      </c>
      <c r="D19" s="168">
        <v>15.17999999999995</v>
      </c>
      <c r="E19" s="170">
        <v>2290.9499999999998</v>
      </c>
      <c r="F19" s="171">
        <f t="shared" si="4"/>
        <v>2306.1299999999997</v>
      </c>
      <c r="G19" s="181"/>
      <c r="H19" s="178">
        <v>2306.1299999999997</v>
      </c>
      <c r="I19" s="170">
        <v>3272.66</v>
      </c>
      <c r="J19" s="171">
        <f t="shared" si="5"/>
        <v>5578.7899999999991</v>
      </c>
      <c r="K19" s="202">
        <v>50</v>
      </c>
      <c r="L19" s="171">
        <v>5528.7899999999991</v>
      </c>
      <c r="M19" s="197">
        <v>2921.46</v>
      </c>
      <c r="N19" s="171">
        <f t="shared" si="6"/>
        <v>8450.25</v>
      </c>
      <c r="O19" s="202">
        <v>5250.52</v>
      </c>
      <c r="P19" s="238">
        <v>3199.7299999999996</v>
      </c>
      <c r="Q19" s="197">
        <v>2908.01</v>
      </c>
      <c r="R19" s="171">
        <f t="shared" si="7"/>
        <v>6107.74</v>
      </c>
      <c r="S19" s="202">
        <v>4820.04</v>
      </c>
      <c r="T19" s="238">
        <v>1287.6999999999998</v>
      </c>
      <c r="U19" s="238">
        <v>3039.6</v>
      </c>
      <c r="V19" s="171">
        <f t="shared" si="8"/>
        <v>4327.2999999999993</v>
      </c>
      <c r="W19" s="56">
        <v>2798.26</v>
      </c>
      <c r="X19" s="568">
        <f t="shared" si="9"/>
        <v>1529.0399999999991</v>
      </c>
      <c r="Y19" s="569">
        <v>3363.35</v>
      </c>
      <c r="Z19" s="171">
        <f t="shared" si="10"/>
        <v>4892.3899999999994</v>
      </c>
      <c r="AA19" s="48">
        <v>2852.61</v>
      </c>
      <c r="AB19" s="238">
        <f t="shared" si="11"/>
        <v>2039.7799999999993</v>
      </c>
      <c r="AC19" s="238">
        <v>2960.04</v>
      </c>
      <c r="AD19" s="171">
        <f t="shared" si="12"/>
        <v>4999.82</v>
      </c>
      <c r="AE19" s="238"/>
      <c r="AF19" s="238">
        <f t="shared" si="13"/>
        <v>0</v>
      </c>
      <c r="AG19" s="196">
        <v>12</v>
      </c>
      <c r="AH19" s="73" t="s">
        <v>165</v>
      </c>
      <c r="AI19" s="139" t="s">
        <v>166</v>
      </c>
      <c r="AJ19" s="238">
        <f t="shared" si="14"/>
        <v>0</v>
      </c>
      <c r="AK19" s="238"/>
      <c r="AL19" s="358" t="s">
        <v>165</v>
      </c>
      <c r="AM19" s="48">
        <v>2852.61</v>
      </c>
      <c r="AN19" s="238" t="s">
        <v>165</v>
      </c>
      <c r="AO19" s="238">
        <v>2960.04</v>
      </c>
      <c r="AQ19" s="472">
        <f t="shared" si="15"/>
        <v>0</v>
      </c>
      <c r="AS19" t="s">
        <v>165</v>
      </c>
      <c r="AT19" t="s">
        <v>1660</v>
      </c>
      <c r="AU19" s="48">
        <v>2960.04</v>
      </c>
      <c r="AV19" s="48">
        <v>0</v>
      </c>
      <c r="AW19" s="48">
        <v>0</v>
      </c>
      <c r="AX19" s="48">
        <v>0</v>
      </c>
      <c r="AY19" s="48">
        <v>0</v>
      </c>
      <c r="AZ19" s="48">
        <v>0</v>
      </c>
      <c r="BA19" s="48">
        <v>0</v>
      </c>
      <c r="BB19" s="48">
        <v>0</v>
      </c>
      <c r="BC19" s="48">
        <v>0</v>
      </c>
      <c r="BD19" s="48">
        <v>0</v>
      </c>
      <c r="BE19" s="48"/>
      <c r="BF19" s="48">
        <f t="shared" si="3"/>
        <v>2960.04</v>
      </c>
      <c r="BG19" s="48"/>
      <c r="BH19" s="48"/>
      <c r="BI19" s="48" t="str">
        <f t="shared" si="16"/>
        <v>01122</v>
      </c>
      <c r="BJ19" s="48">
        <f t="shared" si="17"/>
        <v>2960.04</v>
      </c>
      <c r="BK19" s="628">
        <f t="shared" si="18"/>
        <v>0</v>
      </c>
    </row>
    <row r="20" spans="1:63">
      <c r="A20" s="196">
        <v>13</v>
      </c>
      <c r="B20" s="73" t="s">
        <v>527</v>
      </c>
      <c r="C20" s="139" t="s">
        <v>528</v>
      </c>
      <c r="D20" s="168">
        <v>138866.75</v>
      </c>
      <c r="E20" s="170">
        <v>1285710.29</v>
      </c>
      <c r="F20" s="171">
        <f t="shared" si="4"/>
        <v>1424577.04</v>
      </c>
      <c r="G20" s="181">
        <v>1760340.11</v>
      </c>
      <c r="H20" s="178">
        <v>0</v>
      </c>
      <c r="I20" s="170">
        <v>1828148.7</v>
      </c>
      <c r="J20" s="171">
        <f t="shared" si="5"/>
        <v>1828148.7</v>
      </c>
      <c r="K20" s="202">
        <v>1832083.8499999999</v>
      </c>
      <c r="L20" s="171">
        <v>0</v>
      </c>
      <c r="M20" s="197">
        <v>1818329.8399999999</v>
      </c>
      <c r="N20" s="171">
        <f t="shared" si="6"/>
        <v>1818329.8399999999</v>
      </c>
      <c r="O20" s="202">
        <v>1363804.97</v>
      </c>
      <c r="P20" s="238">
        <v>454524.86999999988</v>
      </c>
      <c r="Q20" s="197">
        <v>2016573.6400000001</v>
      </c>
      <c r="R20" s="171">
        <f t="shared" si="7"/>
        <v>2471098.5099999998</v>
      </c>
      <c r="S20" s="202">
        <v>1951910.6099999999</v>
      </c>
      <c r="T20" s="238">
        <v>519187.89999999991</v>
      </c>
      <c r="U20" s="238">
        <v>2212075.2000000002</v>
      </c>
      <c r="V20" s="171">
        <f t="shared" si="8"/>
        <v>2731263.1</v>
      </c>
      <c r="W20" s="56">
        <v>1849885.7299999986</v>
      </c>
      <c r="X20" s="568">
        <f t="shared" si="9"/>
        <v>881377.37000000151</v>
      </c>
      <c r="Y20" s="569">
        <v>2360221.29</v>
      </c>
      <c r="Z20" s="171">
        <f t="shared" si="10"/>
        <v>3241598.6600000015</v>
      </c>
      <c r="AA20" s="48">
        <v>2950906.6099999966</v>
      </c>
      <c r="AB20" s="238">
        <f t="shared" si="11"/>
        <v>290692.05000000494</v>
      </c>
      <c r="AC20" s="238">
        <v>2345447.0999999996</v>
      </c>
      <c r="AD20" s="171">
        <f t="shared" si="12"/>
        <v>2636139.1500000046</v>
      </c>
      <c r="AE20" s="238"/>
      <c r="AF20" s="238">
        <f t="shared" si="13"/>
        <v>0</v>
      </c>
      <c r="AG20" s="196">
        <v>13</v>
      </c>
      <c r="AH20" s="73" t="s">
        <v>527</v>
      </c>
      <c r="AI20" s="139" t="s">
        <v>528</v>
      </c>
      <c r="AJ20" s="238">
        <f t="shared" si="14"/>
        <v>0</v>
      </c>
      <c r="AK20" s="238"/>
      <c r="AL20" s="358" t="s">
        <v>527</v>
      </c>
      <c r="AM20" s="48">
        <v>2950906.6099999966</v>
      </c>
      <c r="AN20" s="238" t="s">
        <v>527</v>
      </c>
      <c r="AO20" s="238">
        <v>2345447.0999999996</v>
      </c>
      <c r="AQ20" s="472">
        <f t="shared" si="15"/>
        <v>0</v>
      </c>
      <c r="AS20" t="s">
        <v>527</v>
      </c>
      <c r="AT20" t="s">
        <v>1845</v>
      </c>
      <c r="AU20" s="48">
        <v>1630091.66</v>
      </c>
      <c r="AV20" s="48">
        <v>95454.59</v>
      </c>
      <c r="AW20" s="48">
        <v>22380.21</v>
      </c>
      <c r="AX20" s="48">
        <v>57340.41</v>
      </c>
      <c r="AY20" s="48">
        <v>302655.83</v>
      </c>
      <c r="AZ20" s="48">
        <v>111816.08</v>
      </c>
      <c r="BA20" s="48">
        <v>53122.57</v>
      </c>
      <c r="BB20" s="48">
        <v>48883.48</v>
      </c>
      <c r="BC20" s="48">
        <v>9759.3700000000008</v>
      </c>
      <c r="BD20" s="48">
        <v>13942.9</v>
      </c>
      <c r="BE20" s="48"/>
      <c r="BF20" s="48">
        <f t="shared" si="3"/>
        <v>2345447.0999999996</v>
      </c>
      <c r="BG20" s="48"/>
      <c r="BH20" s="48"/>
      <c r="BI20" s="48" t="str">
        <f t="shared" si="16"/>
        <v>27403</v>
      </c>
      <c r="BJ20" s="48">
        <f t="shared" si="17"/>
        <v>2345447.0999999996</v>
      </c>
      <c r="BK20" s="628">
        <f t="shared" si="18"/>
        <v>0</v>
      </c>
    </row>
    <row r="21" spans="1:63">
      <c r="A21" s="196">
        <v>14</v>
      </c>
      <c r="B21" s="73" t="s">
        <v>398</v>
      </c>
      <c r="C21" s="139" t="s">
        <v>399</v>
      </c>
      <c r="D21" s="168">
        <v>289.88999999999942</v>
      </c>
      <c r="E21" s="170">
        <v>13241.37</v>
      </c>
      <c r="F21" s="171">
        <f t="shared" si="4"/>
        <v>13531.26</v>
      </c>
      <c r="G21" s="181">
        <v>3104.85</v>
      </c>
      <c r="H21" s="178">
        <v>10426.41</v>
      </c>
      <c r="I21" s="170">
        <v>18261.71</v>
      </c>
      <c r="J21" s="171">
        <f t="shared" si="5"/>
        <v>28688.12</v>
      </c>
      <c r="K21" s="202">
        <v>15325.579999999998</v>
      </c>
      <c r="L21" s="171">
        <v>13362.54</v>
      </c>
      <c r="M21" s="197">
        <v>18821.87</v>
      </c>
      <c r="N21" s="171">
        <f t="shared" si="6"/>
        <v>32184.41</v>
      </c>
      <c r="O21" s="202">
        <v>9755.57</v>
      </c>
      <c r="P21" s="238">
        <v>22428.84</v>
      </c>
      <c r="Q21" s="197">
        <v>19607.22</v>
      </c>
      <c r="R21" s="171">
        <f t="shared" si="7"/>
        <v>42036.06</v>
      </c>
      <c r="S21" s="202">
        <v>38277.599999999999</v>
      </c>
      <c r="T21" s="238">
        <v>3758.4599999999991</v>
      </c>
      <c r="U21" s="238">
        <v>19581.169999999998</v>
      </c>
      <c r="V21" s="171">
        <f t="shared" si="8"/>
        <v>23339.629999999997</v>
      </c>
      <c r="W21" s="56">
        <v>18587.370000000003</v>
      </c>
      <c r="X21" s="568">
        <f t="shared" si="9"/>
        <v>4752.2599999999948</v>
      </c>
      <c r="Y21" s="569">
        <v>20246.309999999998</v>
      </c>
      <c r="Z21" s="171">
        <f t="shared" si="10"/>
        <v>24998.569999999992</v>
      </c>
      <c r="AA21" s="48">
        <v>22115.360000000001</v>
      </c>
      <c r="AB21" s="238">
        <f t="shared" si="11"/>
        <v>2883.2099999999919</v>
      </c>
      <c r="AC21" s="238">
        <v>19540.890000000003</v>
      </c>
      <c r="AD21" s="171">
        <f t="shared" si="12"/>
        <v>22424.099999999995</v>
      </c>
      <c r="AE21" s="238"/>
      <c r="AF21" s="238">
        <f t="shared" si="13"/>
        <v>0</v>
      </c>
      <c r="AG21" s="196">
        <v>14</v>
      </c>
      <c r="AH21" s="73" t="s">
        <v>398</v>
      </c>
      <c r="AI21" s="139" t="s">
        <v>399</v>
      </c>
      <c r="AJ21" s="238">
        <f t="shared" si="14"/>
        <v>0</v>
      </c>
      <c r="AK21" s="238"/>
      <c r="AL21" s="358" t="s">
        <v>398</v>
      </c>
      <c r="AM21" s="48">
        <v>22115.360000000001</v>
      </c>
      <c r="AN21" s="238" t="s">
        <v>398</v>
      </c>
      <c r="AO21" s="238">
        <v>19540.890000000003</v>
      </c>
      <c r="AQ21" s="472">
        <f t="shared" si="15"/>
        <v>0</v>
      </c>
      <c r="AS21" t="s">
        <v>398</v>
      </c>
      <c r="AT21" t="s">
        <v>1782</v>
      </c>
      <c r="AU21" s="48">
        <v>19338.93</v>
      </c>
      <c r="AV21" s="48">
        <v>86.33</v>
      </c>
      <c r="AW21" s="48">
        <v>115.63</v>
      </c>
      <c r="AX21" s="48">
        <v>0</v>
      </c>
      <c r="AY21" s="48">
        <v>0</v>
      </c>
      <c r="AZ21" s="48">
        <v>0</v>
      </c>
      <c r="BA21" s="48">
        <v>0</v>
      </c>
      <c r="BB21" s="48">
        <v>0</v>
      </c>
      <c r="BC21" s="48">
        <v>0</v>
      </c>
      <c r="BD21" s="48">
        <v>0</v>
      </c>
      <c r="BE21" s="48"/>
      <c r="BF21" s="48">
        <f t="shared" si="3"/>
        <v>19540.890000000003</v>
      </c>
      <c r="BG21" s="48"/>
      <c r="BH21" s="48"/>
      <c r="BI21" s="48" t="str">
        <f t="shared" si="16"/>
        <v>20203</v>
      </c>
      <c r="BJ21" s="48">
        <f t="shared" si="17"/>
        <v>19540.890000000003</v>
      </c>
      <c r="BK21" s="628">
        <f t="shared" si="18"/>
        <v>0</v>
      </c>
    </row>
    <row r="22" spans="1:63">
      <c r="A22" s="196">
        <v>15</v>
      </c>
      <c r="B22" s="73" t="s">
        <v>675</v>
      </c>
      <c r="C22" s="139" t="s">
        <v>676</v>
      </c>
      <c r="D22" s="168">
        <v>0</v>
      </c>
      <c r="E22" s="170">
        <v>159782.18</v>
      </c>
      <c r="F22" s="171">
        <f t="shared" si="4"/>
        <v>159782.18</v>
      </c>
      <c r="G22" s="181">
        <v>150796.54999999999</v>
      </c>
      <c r="H22" s="178">
        <v>8985.6300000000047</v>
      </c>
      <c r="I22" s="170">
        <v>224512.77</v>
      </c>
      <c r="J22" s="171">
        <f t="shared" si="5"/>
        <v>233498.4</v>
      </c>
      <c r="K22" s="202">
        <v>196261.3</v>
      </c>
      <c r="L22" s="171">
        <v>37237.100000000006</v>
      </c>
      <c r="M22" s="197">
        <v>221575.74</v>
      </c>
      <c r="N22" s="171">
        <f t="shared" si="6"/>
        <v>258812.84</v>
      </c>
      <c r="O22" s="202">
        <v>196991.22</v>
      </c>
      <c r="P22" s="238">
        <v>61821.619999999995</v>
      </c>
      <c r="Q22" s="197">
        <v>230010.46000000002</v>
      </c>
      <c r="R22" s="171">
        <f t="shared" si="7"/>
        <v>291832.08</v>
      </c>
      <c r="S22" s="202">
        <v>318508.59999999998</v>
      </c>
      <c r="T22" s="238">
        <v>0</v>
      </c>
      <c r="U22" s="238">
        <v>227214.36000000002</v>
      </c>
      <c r="V22" s="171">
        <f t="shared" si="8"/>
        <v>227214.36000000002</v>
      </c>
      <c r="W22" s="56">
        <v>227273.56</v>
      </c>
      <c r="X22" s="568">
        <f t="shared" si="9"/>
        <v>0</v>
      </c>
      <c r="Y22" s="569">
        <v>234719.66</v>
      </c>
      <c r="Z22" s="171">
        <f t="shared" si="10"/>
        <v>234719.66</v>
      </c>
      <c r="AA22" s="48">
        <v>235059.87</v>
      </c>
      <c r="AB22" s="238">
        <f t="shared" si="11"/>
        <v>0</v>
      </c>
      <c r="AC22" s="238">
        <v>232912.10000000003</v>
      </c>
      <c r="AD22" s="171">
        <f t="shared" si="12"/>
        <v>232912.10000000003</v>
      </c>
      <c r="AE22" s="238"/>
      <c r="AF22" s="238">
        <f t="shared" si="13"/>
        <v>0</v>
      </c>
      <c r="AG22" s="196">
        <v>15</v>
      </c>
      <c r="AH22" s="73" t="s">
        <v>675</v>
      </c>
      <c r="AI22" s="139" t="s">
        <v>676</v>
      </c>
      <c r="AJ22" s="238">
        <f t="shared" si="14"/>
        <v>0</v>
      </c>
      <c r="AK22" s="238"/>
      <c r="AL22" s="358" t="s">
        <v>675</v>
      </c>
      <c r="AM22" s="48">
        <v>235059.87</v>
      </c>
      <c r="AN22" s="238" t="s">
        <v>675</v>
      </c>
      <c r="AO22" s="238">
        <v>232912.10000000003</v>
      </c>
      <c r="AQ22" s="472">
        <f t="shared" si="15"/>
        <v>0</v>
      </c>
      <c r="AS22" t="s">
        <v>675</v>
      </c>
      <c r="AT22" t="s">
        <v>1923</v>
      </c>
      <c r="AU22" s="48">
        <v>160949.94</v>
      </c>
      <c r="AV22" s="48">
        <v>10344.6</v>
      </c>
      <c r="AW22" s="48">
        <v>832.26</v>
      </c>
      <c r="AX22" s="48">
        <v>0</v>
      </c>
      <c r="AY22" s="48">
        <v>35439.22</v>
      </c>
      <c r="AZ22" s="48">
        <v>10318.69</v>
      </c>
      <c r="BA22" s="48">
        <v>4460.04</v>
      </c>
      <c r="BB22" s="48">
        <v>3151.21</v>
      </c>
      <c r="BC22" s="48">
        <v>939.32</v>
      </c>
      <c r="BD22" s="48">
        <v>6476.82</v>
      </c>
      <c r="BE22" s="48"/>
      <c r="BF22" s="48">
        <f t="shared" si="3"/>
        <v>232912.10000000003</v>
      </c>
      <c r="BG22" s="48"/>
      <c r="BH22" s="48"/>
      <c r="BI22" s="48" t="str">
        <f t="shared" si="16"/>
        <v>37503</v>
      </c>
      <c r="BJ22" s="48">
        <f t="shared" si="17"/>
        <v>232912.10000000003</v>
      </c>
      <c r="BK22" s="628">
        <f t="shared" si="18"/>
        <v>0</v>
      </c>
    </row>
    <row r="23" spans="1:63">
      <c r="A23" s="196">
        <v>16</v>
      </c>
      <c r="B23" s="73" t="s">
        <v>428</v>
      </c>
      <c r="C23" s="139" t="s">
        <v>429</v>
      </c>
      <c r="D23" s="168">
        <v>0</v>
      </c>
      <c r="E23" s="170">
        <v>6854.0899999999992</v>
      </c>
      <c r="F23" s="171">
        <f t="shared" si="4"/>
        <v>6854.0899999999992</v>
      </c>
      <c r="G23" s="181"/>
      <c r="H23" s="178">
        <v>6854.0899999999992</v>
      </c>
      <c r="I23" s="170">
        <v>9285.2900000000009</v>
      </c>
      <c r="J23" s="171">
        <f t="shared" si="5"/>
        <v>16139.380000000001</v>
      </c>
      <c r="K23" s="202">
        <v>1675</v>
      </c>
      <c r="L23" s="171">
        <v>14464.380000000001</v>
      </c>
      <c r="M23" s="197">
        <v>8844.4</v>
      </c>
      <c r="N23" s="171">
        <f t="shared" si="6"/>
        <v>23308.78</v>
      </c>
      <c r="O23" s="202"/>
      <c r="P23" s="238">
        <v>23308.78</v>
      </c>
      <c r="Q23" s="197">
        <v>8798.35</v>
      </c>
      <c r="R23" s="171">
        <f t="shared" si="7"/>
        <v>32107.129999999997</v>
      </c>
      <c r="S23" s="202">
        <v>2450</v>
      </c>
      <c r="T23" s="238">
        <v>29657.129999999997</v>
      </c>
      <c r="U23" s="238">
        <v>14037.189999999999</v>
      </c>
      <c r="V23" s="171">
        <f t="shared" si="8"/>
        <v>43694.319999999992</v>
      </c>
      <c r="W23" s="56">
        <v>10413.040000000001</v>
      </c>
      <c r="X23" s="568">
        <f t="shared" si="9"/>
        <v>33281.279999999992</v>
      </c>
      <c r="Y23" s="569">
        <v>16834.230000000003</v>
      </c>
      <c r="Z23" s="171">
        <f t="shared" si="10"/>
        <v>50115.509999999995</v>
      </c>
      <c r="AA23" s="48">
        <v>10703.57</v>
      </c>
      <c r="AB23" s="238">
        <f t="shared" si="11"/>
        <v>39411.939999999995</v>
      </c>
      <c r="AC23" s="238">
        <v>13272.96</v>
      </c>
      <c r="AD23" s="171">
        <f t="shared" si="12"/>
        <v>52684.899999999994</v>
      </c>
      <c r="AE23" s="238"/>
      <c r="AF23" s="238">
        <f t="shared" si="13"/>
        <v>0</v>
      </c>
      <c r="AG23" s="196">
        <v>16</v>
      </c>
      <c r="AH23" s="73" t="s">
        <v>428</v>
      </c>
      <c r="AI23" s="139" t="s">
        <v>429</v>
      </c>
      <c r="AJ23" s="238">
        <f t="shared" si="14"/>
        <v>0</v>
      </c>
      <c r="AK23" s="238"/>
      <c r="AL23" s="358" t="s">
        <v>428</v>
      </c>
      <c r="AM23" s="48">
        <v>10703.57</v>
      </c>
      <c r="AN23" s="238" t="s">
        <v>428</v>
      </c>
      <c r="AO23" s="238">
        <v>13272.96</v>
      </c>
      <c r="AQ23" s="472">
        <f t="shared" si="15"/>
        <v>0</v>
      </c>
      <c r="AS23" t="s">
        <v>428</v>
      </c>
      <c r="AT23" t="s">
        <v>1797</v>
      </c>
      <c r="AU23" s="48">
        <v>8081.52</v>
      </c>
      <c r="AV23" s="48">
        <v>0</v>
      </c>
      <c r="AW23" s="48">
        <v>69.37</v>
      </c>
      <c r="AX23" s="48">
        <v>0</v>
      </c>
      <c r="AY23" s="48">
        <v>2709.34</v>
      </c>
      <c r="AZ23" s="48">
        <v>1523.18</v>
      </c>
      <c r="BA23" s="48">
        <v>337.63</v>
      </c>
      <c r="BB23" s="48">
        <v>0</v>
      </c>
      <c r="BC23" s="48">
        <v>172.67</v>
      </c>
      <c r="BD23" s="48">
        <v>379.25</v>
      </c>
      <c r="BE23" s="48"/>
      <c r="BF23" s="48">
        <f t="shared" si="3"/>
        <v>13272.96</v>
      </c>
      <c r="BG23" s="48"/>
      <c r="BH23" s="48"/>
      <c r="BI23" s="48" t="str">
        <f t="shared" si="16"/>
        <v>21234</v>
      </c>
      <c r="BJ23" s="48">
        <f t="shared" si="17"/>
        <v>13272.96</v>
      </c>
      <c r="BK23" s="628">
        <f t="shared" si="18"/>
        <v>0</v>
      </c>
    </row>
    <row r="24" spans="1:63">
      <c r="A24" s="196">
        <v>17</v>
      </c>
      <c r="B24" s="73" t="s">
        <v>374</v>
      </c>
      <c r="C24" s="139" t="s">
        <v>375</v>
      </c>
      <c r="D24" s="168">
        <v>22186.539999999979</v>
      </c>
      <c r="E24" s="170">
        <v>383717.68</v>
      </c>
      <c r="F24" s="171">
        <f t="shared" si="4"/>
        <v>405904.22</v>
      </c>
      <c r="G24" s="181">
        <v>366033.48</v>
      </c>
      <c r="H24" s="178">
        <v>39870.739999999991</v>
      </c>
      <c r="I24" s="170">
        <v>525451.71</v>
      </c>
      <c r="J24" s="171">
        <f t="shared" si="5"/>
        <v>565322.44999999995</v>
      </c>
      <c r="K24" s="202">
        <v>528080.2699999999</v>
      </c>
      <c r="L24" s="171">
        <v>37242.180000000051</v>
      </c>
      <c r="M24" s="197">
        <v>516389.1</v>
      </c>
      <c r="N24" s="171">
        <f t="shared" si="6"/>
        <v>553631.28</v>
      </c>
      <c r="O24" s="202">
        <v>537860.39</v>
      </c>
      <c r="P24" s="238">
        <v>15770.890000000014</v>
      </c>
      <c r="Q24" s="197">
        <v>557267.32000000007</v>
      </c>
      <c r="R24" s="171">
        <f t="shared" si="7"/>
        <v>573038.21000000008</v>
      </c>
      <c r="S24" s="202">
        <v>547633.94999999984</v>
      </c>
      <c r="T24" s="238">
        <v>25404.260000000242</v>
      </c>
      <c r="U24" s="238">
        <v>560335.72</v>
      </c>
      <c r="V24" s="171">
        <f t="shared" si="8"/>
        <v>585739.98000000021</v>
      </c>
      <c r="W24" s="56">
        <v>533961.79000000039</v>
      </c>
      <c r="X24" s="568">
        <f t="shared" si="9"/>
        <v>51778.189999999828</v>
      </c>
      <c r="Y24" s="569">
        <v>609969.29</v>
      </c>
      <c r="Z24" s="171">
        <f t="shared" si="10"/>
        <v>661747.47999999986</v>
      </c>
      <c r="AA24" s="48">
        <v>598519.40999999957</v>
      </c>
      <c r="AB24" s="238">
        <f t="shared" si="11"/>
        <v>63228.070000000298</v>
      </c>
      <c r="AC24" s="238">
        <v>597799.82999999996</v>
      </c>
      <c r="AD24" s="171">
        <f t="shared" si="12"/>
        <v>661027.90000000026</v>
      </c>
      <c r="AE24" s="238"/>
      <c r="AF24" s="238">
        <f t="shared" si="13"/>
        <v>0</v>
      </c>
      <c r="AG24" s="196">
        <v>17</v>
      </c>
      <c r="AH24" s="73" t="s">
        <v>374</v>
      </c>
      <c r="AI24" s="139" t="s">
        <v>375</v>
      </c>
      <c r="AJ24" s="238">
        <f t="shared" si="14"/>
        <v>0</v>
      </c>
      <c r="AK24" s="238"/>
      <c r="AL24" s="358" t="s">
        <v>374</v>
      </c>
      <c r="AM24" s="48">
        <v>598519.40999999957</v>
      </c>
      <c r="AN24" s="238" t="s">
        <v>374</v>
      </c>
      <c r="AO24" s="238">
        <v>597799.82999999996</v>
      </c>
      <c r="AQ24" s="472">
        <f t="shared" si="15"/>
        <v>0</v>
      </c>
      <c r="AS24" t="s">
        <v>374</v>
      </c>
      <c r="AT24" t="s">
        <v>1769</v>
      </c>
      <c r="AU24" s="48">
        <v>369561.39</v>
      </c>
      <c r="AV24" s="48">
        <v>29556.400000000001</v>
      </c>
      <c r="AW24" s="48">
        <v>12978.11</v>
      </c>
      <c r="AX24" s="48">
        <v>35612.480000000003</v>
      </c>
      <c r="AY24" s="48">
        <v>76621.61</v>
      </c>
      <c r="AZ24" s="48">
        <v>32783.64</v>
      </c>
      <c r="BA24" s="48">
        <v>20191.2</v>
      </c>
      <c r="BB24" s="48">
        <v>18177.349999999999</v>
      </c>
      <c r="BC24" s="48">
        <v>2317.65</v>
      </c>
      <c r="BD24" s="48">
        <v>0</v>
      </c>
      <c r="BE24" s="48"/>
      <c r="BF24" s="48">
        <f t="shared" si="3"/>
        <v>597799.82999999996</v>
      </c>
      <c r="BG24" s="48"/>
      <c r="BH24" s="48"/>
      <c r="BI24" s="48" t="str">
        <f t="shared" si="16"/>
        <v>18100</v>
      </c>
      <c r="BJ24" s="48">
        <f t="shared" si="17"/>
        <v>597799.82999999996</v>
      </c>
      <c r="BK24" s="628">
        <f t="shared" si="18"/>
        <v>0</v>
      </c>
    </row>
    <row r="25" spans="1:63">
      <c r="A25" s="196">
        <v>18</v>
      </c>
      <c r="B25" s="73" t="s">
        <v>478</v>
      </c>
      <c r="C25" s="139" t="s">
        <v>479</v>
      </c>
      <c r="D25" s="168">
        <v>0</v>
      </c>
      <c r="E25" s="170">
        <v>66863.81</v>
      </c>
      <c r="F25" s="171">
        <f t="shared" si="4"/>
        <v>66863.81</v>
      </c>
      <c r="G25" s="181">
        <v>56066.42</v>
      </c>
      <c r="H25" s="178">
        <v>10797.39</v>
      </c>
      <c r="I25" s="170">
        <v>96448.21</v>
      </c>
      <c r="J25" s="171">
        <f t="shared" si="5"/>
        <v>107245.6</v>
      </c>
      <c r="K25" s="202">
        <v>81421.079999999973</v>
      </c>
      <c r="L25" s="171">
        <v>25824.520000000033</v>
      </c>
      <c r="M25" s="197">
        <v>100266.53</v>
      </c>
      <c r="N25" s="171">
        <f t="shared" si="6"/>
        <v>126091.05000000003</v>
      </c>
      <c r="O25" s="202">
        <v>94550.88</v>
      </c>
      <c r="P25" s="238">
        <v>31540.170000000027</v>
      </c>
      <c r="Q25" s="197">
        <v>110591.35</v>
      </c>
      <c r="R25" s="171">
        <f t="shared" si="7"/>
        <v>142131.52000000002</v>
      </c>
      <c r="S25" s="202">
        <v>106844.23</v>
      </c>
      <c r="T25" s="238">
        <v>35287.290000000023</v>
      </c>
      <c r="U25" s="238">
        <v>109352.26000000001</v>
      </c>
      <c r="V25" s="171">
        <f t="shared" si="8"/>
        <v>144639.55000000005</v>
      </c>
      <c r="W25" s="56">
        <v>95402.78</v>
      </c>
      <c r="X25" s="568">
        <f t="shared" si="9"/>
        <v>49236.770000000048</v>
      </c>
      <c r="Y25" s="569">
        <v>117921.61000000003</v>
      </c>
      <c r="Z25" s="171">
        <f t="shared" si="10"/>
        <v>167158.38000000006</v>
      </c>
      <c r="AA25" s="48">
        <v>167158.37999999998</v>
      </c>
      <c r="AB25" s="238">
        <f t="shared" si="11"/>
        <v>8.7311491370201111E-11</v>
      </c>
      <c r="AC25" s="238">
        <v>119185.85</v>
      </c>
      <c r="AD25" s="171">
        <f t="shared" si="12"/>
        <v>119185.85000000009</v>
      </c>
      <c r="AE25" s="238"/>
      <c r="AF25" s="238">
        <f t="shared" si="13"/>
        <v>0</v>
      </c>
      <c r="AG25" s="196">
        <v>18</v>
      </c>
      <c r="AH25" s="73" t="s">
        <v>478</v>
      </c>
      <c r="AI25" s="139" t="s">
        <v>479</v>
      </c>
      <c r="AJ25" s="238">
        <f t="shared" si="14"/>
        <v>0</v>
      </c>
      <c r="AK25" s="238"/>
      <c r="AL25" s="358" t="s">
        <v>478</v>
      </c>
      <c r="AM25" s="48">
        <v>167158.37999999998</v>
      </c>
      <c r="AN25" s="238" t="s">
        <v>478</v>
      </c>
      <c r="AO25" s="238">
        <v>119185.85</v>
      </c>
      <c r="AQ25" s="472">
        <f t="shared" si="15"/>
        <v>0</v>
      </c>
      <c r="AS25" t="s">
        <v>478</v>
      </c>
      <c r="AT25" t="s">
        <v>1821</v>
      </c>
      <c r="AU25" s="48">
        <v>67417.990000000005</v>
      </c>
      <c r="AV25" s="48">
        <v>7443.27</v>
      </c>
      <c r="AW25" s="48">
        <v>1390.6</v>
      </c>
      <c r="AX25" s="48">
        <v>0</v>
      </c>
      <c r="AY25" s="48">
        <v>12968.23</v>
      </c>
      <c r="AZ25" s="48">
        <v>9191.5400000000009</v>
      </c>
      <c r="BA25" s="48">
        <v>4376.8500000000004</v>
      </c>
      <c r="BB25" s="48">
        <v>10020.959999999999</v>
      </c>
      <c r="BC25" s="48">
        <v>410.08</v>
      </c>
      <c r="BD25" s="48">
        <v>5966.33</v>
      </c>
      <c r="BE25" s="48"/>
      <c r="BF25" s="48">
        <f t="shared" si="3"/>
        <v>119185.85</v>
      </c>
      <c r="BG25" s="48"/>
      <c r="BH25" s="48"/>
      <c r="BI25" s="48" t="str">
        <f t="shared" si="16"/>
        <v>24111</v>
      </c>
      <c r="BJ25" s="48">
        <f t="shared" si="17"/>
        <v>119185.85</v>
      </c>
      <c r="BK25" s="628">
        <f t="shared" si="18"/>
        <v>0</v>
      </c>
    </row>
    <row r="26" spans="1:63">
      <c r="A26" s="196">
        <v>19</v>
      </c>
      <c r="B26" s="73" t="s">
        <v>247</v>
      </c>
      <c r="C26" s="139" t="s">
        <v>248</v>
      </c>
      <c r="D26" s="168">
        <v>0</v>
      </c>
      <c r="E26" s="170">
        <v>55379.88</v>
      </c>
      <c r="F26" s="171">
        <f t="shared" si="4"/>
        <v>55379.88</v>
      </c>
      <c r="G26" s="181">
        <v>54699.94</v>
      </c>
      <c r="H26" s="178">
        <v>679.93999999999505</v>
      </c>
      <c r="I26" s="170">
        <v>80208.39</v>
      </c>
      <c r="J26" s="171">
        <f t="shared" si="5"/>
        <v>80888.329999999987</v>
      </c>
      <c r="K26" s="202">
        <v>64431.619999999995</v>
      </c>
      <c r="L26" s="171">
        <v>16456.709999999992</v>
      </c>
      <c r="M26" s="197">
        <v>79486.89</v>
      </c>
      <c r="N26" s="171">
        <f t="shared" si="6"/>
        <v>95943.599999999991</v>
      </c>
      <c r="O26" s="202">
        <v>66487.98</v>
      </c>
      <c r="P26" s="238">
        <v>29455.619999999995</v>
      </c>
      <c r="Q26" s="197">
        <v>86881.57</v>
      </c>
      <c r="R26" s="171">
        <f t="shared" si="7"/>
        <v>116337.19</v>
      </c>
      <c r="S26" s="202">
        <v>63565.539999999994</v>
      </c>
      <c r="T26" s="238">
        <v>52771.650000000009</v>
      </c>
      <c r="U26" s="238">
        <v>83412.97</v>
      </c>
      <c r="V26" s="171">
        <f t="shared" si="8"/>
        <v>136184.62</v>
      </c>
      <c r="W26" s="56">
        <v>70017.41</v>
      </c>
      <c r="X26" s="568">
        <f t="shared" si="9"/>
        <v>66167.209999999992</v>
      </c>
      <c r="Y26" s="569">
        <v>93934.610000000015</v>
      </c>
      <c r="Z26" s="171">
        <f t="shared" si="10"/>
        <v>160101.82</v>
      </c>
      <c r="AA26" s="48">
        <v>71784.889999999985</v>
      </c>
      <c r="AB26" s="238">
        <f t="shared" si="11"/>
        <v>88316.930000000022</v>
      </c>
      <c r="AC26" s="238">
        <v>93789.31</v>
      </c>
      <c r="AD26" s="171">
        <f t="shared" si="12"/>
        <v>182106.24000000002</v>
      </c>
      <c r="AE26" s="238"/>
      <c r="AF26" s="238">
        <f t="shared" si="13"/>
        <v>0</v>
      </c>
      <c r="AG26" s="196">
        <v>19</v>
      </c>
      <c r="AH26" s="73" t="s">
        <v>247</v>
      </c>
      <c r="AI26" s="139" t="s">
        <v>248</v>
      </c>
      <c r="AJ26" s="238">
        <f t="shared" si="14"/>
        <v>0</v>
      </c>
      <c r="AK26" s="238"/>
      <c r="AL26" s="358" t="s">
        <v>247</v>
      </c>
      <c r="AM26" s="48">
        <v>71784.889999999985</v>
      </c>
      <c r="AN26" s="238" t="s">
        <v>247</v>
      </c>
      <c r="AO26" s="238">
        <v>93789.31</v>
      </c>
      <c r="AQ26" s="472">
        <f t="shared" si="15"/>
        <v>0</v>
      </c>
      <c r="AS26" t="s">
        <v>247</v>
      </c>
      <c r="AT26" t="s">
        <v>1703</v>
      </c>
      <c r="AU26" s="48">
        <v>58078.44</v>
      </c>
      <c r="AV26" s="48">
        <v>2176.87</v>
      </c>
      <c r="AW26" s="48">
        <v>464.05</v>
      </c>
      <c r="AX26" s="48">
        <v>0</v>
      </c>
      <c r="AY26" s="48">
        <v>9186.1299999999992</v>
      </c>
      <c r="AZ26" s="48">
        <v>6697.09</v>
      </c>
      <c r="BA26" s="48">
        <v>3390.17</v>
      </c>
      <c r="BB26" s="48">
        <v>10088.799999999999</v>
      </c>
      <c r="BC26" s="48">
        <v>311.43</v>
      </c>
      <c r="BD26" s="48">
        <v>3396.33</v>
      </c>
      <c r="BE26" s="48"/>
      <c r="BF26" s="48">
        <f t="shared" si="3"/>
        <v>93789.31</v>
      </c>
      <c r="BG26" s="48"/>
      <c r="BH26" s="48"/>
      <c r="BI26" s="48" t="str">
        <f t="shared" si="16"/>
        <v>09075</v>
      </c>
      <c r="BJ26" s="48">
        <f t="shared" si="17"/>
        <v>93789.31</v>
      </c>
      <c r="BK26" s="628">
        <f t="shared" si="18"/>
        <v>0</v>
      </c>
    </row>
    <row r="27" spans="1:63">
      <c r="A27" s="196">
        <v>20</v>
      </c>
      <c r="B27" s="73" t="s">
        <v>330</v>
      </c>
      <c r="C27" s="139" t="s">
        <v>331</v>
      </c>
      <c r="D27" s="168">
        <v>580.96</v>
      </c>
      <c r="E27" s="170">
        <v>5049.0400000000009</v>
      </c>
      <c r="F27" s="171">
        <f t="shared" si="4"/>
        <v>5630.0000000000009</v>
      </c>
      <c r="G27" s="181">
        <v>4520.88</v>
      </c>
      <c r="H27" s="178">
        <v>1109.1200000000008</v>
      </c>
      <c r="I27" s="170">
        <v>8152.18</v>
      </c>
      <c r="J27" s="171">
        <f t="shared" si="5"/>
        <v>9261.3000000000011</v>
      </c>
      <c r="K27" s="202">
        <v>6031.8600000000006</v>
      </c>
      <c r="L27" s="171">
        <v>3229.4400000000005</v>
      </c>
      <c r="M27" s="197">
        <v>8346.32</v>
      </c>
      <c r="N27" s="171">
        <f t="shared" si="6"/>
        <v>11575.76</v>
      </c>
      <c r="O27" s="202">
        <v>6846.3600000000006</v>
      </c>
      <c r="P27" s="238">
        <v>4729.3999999999996</v>
      </c>
      <c r="Q27" s="197">
        <v>9043.0400000000009</v>
      </c>
      <c r="R27" s="171">
        <f t="shared" si="7"/>
        <v>13772.44</v>
      </c>
      <c r="S27" s="202">
        <v>8240.2000000000007</v>
      </c>
      <c r="T27" s="238">
        <v>5532.24</v>
      </c>
      <c r="U27" s="238">
        <v>8303.7000000000007</v>
      </c>
      <c r="V27" s="171">
        <f t="shared" si="8"/>
        <v>13835.94</v>
      </c>
      <c r="W27" s="56">
        <v>8933.4500000000007</v>
      </c>
      <c r="X27" s="568">
        <f t="shared" si="9"/>
        <v>4902.49</v>
      </c>
      <c r="Y27" s="569">
        <v>8584.34</v>
      </c>
      <c r="Z27" s="171">
        <f t="shared" si="10"/>
        <v>13486.83</v>
      </c>
      <c r="AA27" s="48">
        <v>11630.24</v>
      </c>
      <c r="AB27" s="238">
        <f t="shared" si="11"/>
        <v>1856.5900000000001</v>
      </c>
      <c r="AC27" s="238">
        <v>8129.55</v>
      </c>
      <c r="AD27" s="171">
        <f t="shared" si="12"/>
        <v>9986.14</v>
      </c>
      <c r="AE27" s="238"/>
      <c r="AF27" s="238">
        <f t="shared" si="13"/>
        <v>0</v>
      </c>
      <c r="AG27" s="196">
        <v>20</v>
      </c>
      <c r="AH27" s="73" t="s">
        <v>330</v>
      </c>
      <c r="AI27" s="139" t="s">
        <v>331</v>
      </c>
      <c r="AJ27" s="238">
        <f t="shared" si="14"/>
        <v>0</v>
      </c>
      <c r="AK27" s="238"/>
      <c r="AL27" s="358" t="s">
        <v>330</v>
      </c>
      <c r="AM27" s="48">
        <v>11630.24</v>
      </c>
      <c r="AN27" s="238" t="s">
        <v>330</v>
      </c>
      <c r="AO27" s="238">
        <v>8129.55</v>
      </c>
      <c r="AQ27" s="472">
        <f t="shared" si="15"/>
        <v>0</v>
      </c>
      <c r="AS27" t="s">
        <v>330</v>
      </c>
      <c r="AT27" t="s">
        <v>1745</v>
      </c>
      <c r="AU27" s="48">
        <v>5938.58</v>
      </c>
      <c r="AV27" s="48">
        <v>0</v>
      </c>
      <c r="AW27" s="48">
        <v>0</v>
      </c>
      <c r="AX27" s="48">
        <v>0</v>
      </c>
      <c r="AY27" s="48">
        <v>808.07</v>
      </c>
      <c r="AZ27" s="48">
        <v>536.51</v>
      </c>
      <c r="BA27" s="48">
        <v>323.75</v>
      </c>
      <c r="BB27" s="48">
        <v>0</v>
      </c>
      <c r="BC27" s="48">
        <v>29.3</v>
      </c>
      <c r="BD27" s="48">
        <v>493.34</v>
      </c>
      <c r="BE27" s="48"/>
      <c r="BF27" s="48">
        <f t="shared" si="3"/>
        <v>8129.55</v>
      </c>
      <c r="BG27" s="48"/>
      <c r="BH27" s="48"/>
      <c r="BI27" s="48" t="str">
        <f t="shared" si="16"/>
        <v>16046</v>
      </c>
      <c r="BJ27" s="48">
        <f t="shared" si="17"/>
        <v>8129.55</v>
      </c>
      <c r="BK27" s="628">
        <f t="shared" si="18"/>
        <v>0</v>
      </c>
    </row>
    <row r="28" spans="1:63">
      <c r="A28" s="196">
        <v>21</v>
      </c>
      <c r="B28" s="73" t="s">
        <v>545</v>
      </c>
      <c r="C28" s="139" t="s">
        <v>1136</v>
      </c>
      <c r="D28" s="168">
        <v>0</v>
      </c>
      <c r="E28" s="170">
        <v>266280.18999999994</v>
      </c>
      <c r="F28" s="171">
        <f t="shared" si="4"/>
        <v>266280.18999999994</v>
      </c>
      <c r="G28" s="181">
        <v>313589.40999999997</v>
      </c>
      <c r="H28" s="178">
        <v>0</v>
      </c>
      <c r="I28" s="170">
        <v>375972.04</v>
      </c>
      <c r="J28" s="171">
        <f t="shared" si="5"/>
        <v>375972.04</v>
      </c>
      <c r="K28" s="202">
        <v>424308.39999999997</v>
      </c>
      <c r="L28" s="171">
        <v>0</v>
      </c>
      <c r="M28" s="197">
        <v>367753.95</v>
      </c>
      <c r="N28" s="171">
        <f t="shared" si="6"/>
        <v>367753.95</v>
      </c>
      <c r="O28" s="202">
        <v>404316.04000000004</v>
      </c>
      <c r="P28" s="238">
        <v>0</v>
      </c>
      <c r="Q28" s="197">
        <v>399363.54</v>
      </c>
      <c r="R28" s="171">
        <f t="shared" si="7"/>
        <v>399363.54</v>
      </c>
      <c r="S28" s="202">
        <v>431089.77999999997</v>
      </c>
      <c r="T28" s="238">
        <v>0</v>
      </c>
      <c r="U28" s="238">
        <v>408670.04000000004</v>
      </c>
      <c r="V28" s="171">
        <f t="shared" si="8"/>
        <v>408670.04000000004</v>
      </c>
      <c r="W28" s="56">
        <v>467523.90000000026</v>
      </c>
      <c r="X28" s="568">
        <f t="shared" si="9"/>
        <v>0</v>
      </c>
      <c r="Y28" s="569">
        <v>426809.20999999996</v>
      </c>
      <c r="Z28" s="171">
        <f t="shared" si="10"/>
        <v>426809.20999999996</v>
      </c>
      <c r="AA28" s="48">
        <v>548475.81000000017</v>
      </c>
      <c r="AB28" s="238">
        <f t="shared" si="11"/>
        <v>0</v>
      </c>
      <c r="AC28" s="238">
        <v>406468.74</v>
      </c>
      <c r="AD28" s="171">
        <f t="shared" si="12"/>
        <v>406468.74</v>
      </c>
      <c r="AE28" s="238"/>
      <c r="AF28" s="238">
        <f t="shared" si="13"/>
        <v>0</v>
      </c>
      <c r="AG28" s="196">
        <v>21</v>
      </c>
      <c r="AH28" s="73" t="s">
        <v>545</v>
      </c>
      <c r="AI28" s="139" t="s">
        <v>1136</v>
      </c>
      <c r="AJ28" s="238">
        <f t="shared" si="14"/>
        <v>0</v>
      </c>
      <c r="AK28" s="238"/>
      <c r="AL28" s="358" t="s">
        <v>545</v>
      </c>
      <c r="AM28" s="48">
        <v>548475.81000000017</v>
      </c>
      <c r="AN28" s="238" t="s">
        <v>545</v>
      </c>
      <c r="AO28" s="238">
        <v>406468.74</v>
      </c>
      <c r="AQ28" s="472">
        <f t="shared" si="15"/>
        <v>0</v>
      </c>
      <c r="AS28" t="s">
        <v>545</v>
      </c>
      <c r="AT28" t="s">
        <v>1854</v>
      </c>
      <c r="AU28" s="48">
        <v>257839.68</v>
      </c>
      <c r="AV28" s="48">
        <v>24551.81</v>
      </c>
      <c r="AW28" s="48">
        <v>5739.52</v>
      </c>
      <c r="AX28" s="48">
        <v>0</v>
      </c>
      <c r="AY28" s="48">
        <v>60944.28</v>
      </c>
      <c r="AZ28" s="48">
        <v>19867.3</v>
      </c>
      <c r="BA28" s="48">
        <v>12047.12</v>
      </c>
      <c r="BB28" s="48">
        <v>20312.78</v>
      </c>
      <c r="BC28" s="48">
        <v>1522.94</v>
      </c>
      <c r="BD28" s="48">
        <v>3643.31</v>
      </c>
      <c r="BE28" s="48"/>
      <c r="BF28" s="48">
        <f t="shared" si="3"/>
        <v>406468.74</v>
      </c>
      <c r="BG28" s="48"/>
      <c r="BH28" s="48"/>
      <c r="BI28" s="48" t="str">
        <f t="shared" si="16"/>
        <v>29100</v>
      </c>
      <c r="BJ28" s="48">
        <f t="shared" si="17"/>
        <v>406468.74</v>
      </c>
      <c r="BK28" s="628">
        <f t="shared" si="18"/>
        <v>0</v>
      </c>
    </row>
    <row r="29" spans="1:63">
      <c r="A29" s="196">
        <v>22</v>
      </c>
      <c r="B29" s="73" t="s">
        <v>223</v>
      </c>
      <c r="C29" s="139" t="s">
        <v>224</v>
      </c>
      <c r="D29" s="168">
        <v>0</v>
      </c>
      <c r="E29" s="170">
        <v>459024.76999999996</v>
      </c>
      <c r="F29" s="171">
        <f t="shared" si="4"/>
        <v>459024.76999999996</v>
      </c>
      <c r="G29" s="181">
        <v>476843.58</v>
      </c>
      <c r="H29" s="178">
        <v>0</v>
      </c>
      <c r="I29" s="170">
        <v>652696.09</v>
      </c>
      <c r="J29" s="171">
        <f t="shared" si="5"/>
        <v>652696.09</v>
      </c>
      <c r="K29" s="202">
        <v>813582.94000000006</v>
      </c>
      <c r="L29" s="171">
        <v>0</v>
      </c>
      <c r="M29" s="197">
        <v>644508.97</v>
      </c>
      <c r="N29" s="171">
        <f t="shared" si="6"/>
        <v>644508.97</v>
      </c>
      <c r="O29" s="202">
        <v>931327.01</v>
      </c>
      <c r="P29" s="238">
        <v>0</v>
      </c>
      <c r="Q29" s="197">
        <v>705181.39</v>
      </c>
      <c r="R29" s="171">
        <f t="shared" si="7"/>
        <v>705181.39</v>
      </c>
      <c r="S29" s="202">
        <v>906834.14</v>
      </c>
      <c r="T29" s="238">
        <v>0</v>
      </c>
      <c r="U29" s="238">
        <v>722920.29</v>
      </c>
      <c r="V29" s="171">
        <f t="shared" si="8"/>
        <v>722920.29</v>
      </c>
      <c r="W29" s="56">
        <v>902494.7899999998</v>
      </c>
      <c r="X29" s="568">
        <f t="shared" si="9"/>
        <v>0</v>
      </c>
      <c r="Y29" s="569">
        <v>761741.33</v>
      </c>
      <c r="Z29" s="171">
        <f t="shared" si="10"/>
        <v>761741.33</v>
      </c>
      <c r="AA29" s="48">
        <v>626438.2300000001</v>
      </c>
      <c r="AB29" s="238">
        <f t="shared" si="11"/>
        <v>135303.09999999986</v>
      </c>
      <c r="AC29" s="238">
        <v>759136.55999999994</v>
      </c>
      <c r="AD29" s="171">
        <f t="shared" si="12"/>
        <v>894439.6599999998</v>
      </c>
      <c r="AE29" s="238"/>
      <c r="AF29" s="238">
        <f t="shared" si="13"/>
        <v>0</v>
      </c>
      <c r="AG29" s="196">
        <v>22</v>
      </c>
      <c r="AH29" s="73" t="s">
        <v>223</v>
      </c>
      <c r="AI29" s="139" t="s">
        <v>224</v>
      </c>
      <c r="AJ29" s="238">
        <f t="shared" si="14"/>
        <v>0</v>
      </c>
      <c r="AK29" s="238"/>
      <c r="AL29" s="358" t="s">
        <v>223</v>
      </c>
      <c r="AM29" s="48">
        <v>626438.2300000001</v>
      </c>
      <c r="AN29" s="238" t="s">
        <v>223</v>
      </c>
      <c r="AO29" s="238">
        <v>759136.55999999994</v>
      </c>
      <c r="AQ29" s="472">
        <f t="shared" si="15"/>
        <v>0</v>
      </c>
      <c r="AS29" t="s">
        <v>223</v>
      </c>
      <c r="AT29" t="s">
        <v>1691</v>
      </c>
      <c r="AU29" s="48">
        <v>600568.76</v>
      </c>
      <c r="AV29" s="48">
        <v>38672.300000000003</v>
      </c>
      <c r="AW29" s="48">
        <v>3379.84</v>
      </c>
      <c r="AX29" s="48">
        <v>0</v>
      </c>
      <c r="AY29" s="48">
        <v>87994.76</v>
      </c>
      <c r="AZ29" s="48">
        <v>14021.34</v>
      </c>
      <c r="BA29" s="48">
        <v>0</v>
      </c>
      <c r="BB29" s="48">
        <v>8857.4500000000007</v>
      </c>
      <c r="BC29" s="48">
        <v>3430.72</v>
      </c>
      <c r="BD29" s="48">
        <v>2211.39</v>
      </c>
      <c r="BE29" s="48"/>
      <c r="BF29" s="48">
        <f t="shared" si="3"/>
        <v>759136.55999999994</v>
      </c>
      <c r="BG29" s="48"/>
      <c r="BH29" s="48"/>
      <c r="BI29" s="48" t="str">
        <f t="shared" si="16"/>
        <v>06117</v>
      </c>
      <c r="BJ29" s="48">
        <f t="shared" si="17"/>
        <v>759136.55999999994</v>
      </c>
      <c r="BK29" s="628">
        <f t="shared" si="18"/>
        <v>0</v>
      </c>
    </row>
    <row r="30" spans="1:63">
      <c r="A30" s="196">
        <v>23</v>
      </c>
      <c r="B30" s="73" t="s">
        <v>209</v>
      </c>
      <c r="C30" s="139" t="s">
        <v>210</v>
      </c>
      <c r="D30" s="168">
        <v>21186.09</v>
      </c>
      <c r="E30" s="170">
        <v>45131.519999999997</v>
      </c>
      <c r="F30" s="171">
        <f t="shared" si="4"/>
        <v>66317.61</v>
      </c>
      <c r="G30" s="181">
        <v>70381.070000000007</v>
      </c>
      <c r="H30" s="178">
        <v>0</v>
      </c>
      <c r="I30" s="170">
        <v>67132.19</v>
      </c>
      <c r="J30" s="171">
        <f t="shared" si="5"/>
        <v>67132.19</v>
      </c>
      <c r="K30" s="202">
        <v>64871.25</v>
      </c>
      <c r="L30" s="171">
        <v>2260.9400000000023</v>
      </c>
      <c r="M30" s="197">
        <v>64920.81</v>
      </c>
      <c r="N30" s="171">
        <f t="shared" si="6"/>
        <v>67181.75</v>
      </c>
      <c r="O30" s="202">
        <v>69469.489999999991</v>
      </c>
      <c r="P30" s="238">
        <v>0</v>
      </c>
      <c r="Q30" s="197">
        <v>69068.31</v>
      </c>
      <c r="R30" s="171">
        <f t="shared" si="7"/>
        <v>69068.31</v>
      </c>
      <c r="S30" s="202">
        <v>64025.229999999996</v>
      </c>
      <c r="T30" s="238">
        <v>5043.0800000000017</v>
      </c>
      <c r="U30" s="238">
        <v>71193.540000000008</v>
      </c>
      <c r="V30" s="171">
        <f t="shared" si="8"/>
        <v>76236.62000000001</v>
      </c>
      <c r="W30" s="56">
        <v>62398.95</v>
      </c>
      <c r="X30" s="568">
        <f t="shared" si="9"/>
        <v>13837.670000000013</v>
      </c>
      <c r="Y30" s="569">
        <v>72782.029999999984</v>
      </c>
      <c r="Z30" s="171">
        <f t="shared" si="10"/>
        <v>86619.7</v>
      </c>
      <c r="AA30" s="48">
        <v>67557.570000000022</v>
      </c>
      <c r="AB30" s="238">
        <f t="shared" si="11"/>
        <v>19062.129999999976</v>
      </c>
      <c r="AC30" s="238">
        <v>74677.200000000012</v>
      </c>
      <c r="AD30" s="171">
        <f t="shared" si="12"/>
        <v>93739.329999999987</v>
      </c>
      <c r="AE30" s="238"/>
      <c r="AF30" s="238">
        <f t="shared" si="13"/>
        <v>0</v>
      </c>
      <c r="AG30" s="196">
        <v>23</v>
      </c>
      <c r="AH30" s="73" t="s">
        <v>209</v>
      </c>
      <c r="AI30" s="139" t="s">
        <v>210</v>
      </c>
      <c r="AJ30" s="238">
        <f t="shared" si="14"/>
        <v>0</v>
      </c>
      <c r="AK30" s="238"/>
      <c r="AL30" s="358" t="s">
        <v>209</v>
      </c>
      <c r="AM30" s="48">
        <v>67557.570000000022</v>
      </c>
      <c r="AN30" s="238" t="s">
        <v>209</v>
      </c>
      <c r="AO30" s="238">
        <v>74677.200000000012</v>
      </c>
      <c r="AQ30" s="472">
        <f t="shared" si="15"/>
        <v>0</v>
      </c>
      <c r="AS30" t="s">
        <v>209</v>
      </c>
      <c r="AT30" t="s">
        <v>1682</v>
      </c>
      <c r="AU30" s="48">
        <v>58631.91</v>
      </c>
      <c r="AV30" s="48">
        <v>877.22</v>
      </c>
      <c r="AW30" s="48">
        <v>0</v>
      </c>
      <c r="AX30" s="48">
        <v>0</v>
      </c>
      <c r="AY30" s="48">
        <v>9277.2900000000009</v>
      </c>
      <c r="AZ30" s="48">
        <v>3498.09</v>
      </c>
      <c r="BA30" s="48">
        <v>2181.48</v>
      </c>
      <c r="BB30" s="48">
        <v>0</v>
      </c>
      <c r="BC30" s="48">
        <v>211.21</v>
      </c>
      <c r="BD30" s="48">
        <v>0</v>
      </c>
      <c r="BE30" s="48"/>
      <c r="BF30" s="48">
        <f t="shared" si="3"/>
        <v>74677.200000000012</v>
      </c>
      <c r="BG30" s="48"/>
      <c r="BH30" s="48"/>
      <c r="BI30" s="48" t="str">
        <f t="shared" si="16"/>
        <v>05401</v>
      </c>
      <c r="BJ30" s="48">
        <f t="shared" si="17"/>
        <v>74677.200000000012</v>
      </c>
      <c r="BK30" s="628">
        <f t="shared" si="18"/>
        <v>0</v>
      </c>
    </row>
    <row r="31" spans="1:63">
      <c r="A31" s="196">
        <v>24</v>
      </c>
      <c r="B31" s="73" t="s">
        <v>511</v>
      </c>
      <c r="C31" s="139" t="s">
        <v>512</v>
      </c>
      <c r="D31" s="168">
        <v>691.28999999999905</v>
      </c>
      <c r="E31" s="170">
        <v>12579.119999999999</v>
      </c>
      <c r="F31" s="171">
        <f t="shared" si="4"/>
        <v>13270.409999999998</v>
      </c>
      <c r="G31" s="181">
        <v>10305.56</v>
      </c>
      <c r="H31" s="178">
        <v>2964.8499999999985</v>
      </c>
      <c r="I31" s="170">
        <v>19477.900000000001</v>
      </c>
      <c r="J31" s="171">
        <f t="shared" si="5"/>
        <v>22442.75</v>
      </c>
      <c r="K31" s="202">
        <v>16475.5</v>
      </c>
      <c r="L31" s="171">
        <v>5967.25</v>
      </c>
      <c r="M31" s="197">
        <v>19107.190000000002</v>
      </c>
      <c r="N31" s="171">
        <f t="shared" si="6"/>
        <v>25074.440000000002</v>
      </c>
      <c r="O31" s="202">
        <v>8645.23</v>
      </c>
      <c r="P31" s="238">
        <v>16429.210000000003</v>
      </c>
      <c r="Q31" s="197">
        <v>19939.68</v>
      </c>
      <c r="R31" s="171">
        <f t="shared" si="7"/>
        <v>36368.89</v>
      </c>
      <c r="S31" s="202">
        <v>30454.639999999999</v>
      </c>
      <c r="T31" s="238">
        <v>5914.25</v>
      </c>
      <c r="U31" s="238">
        <v>20166.719999999998</v>
      </c>
      <c r="V31" s="171">
        <f t="shared" si="8"/>
        <v>26080.969999999998</v>
      </c>
      <c r="W31" s="56">
        <v>17038.099999999999</v>
      </c>
      <c r="X31" s="568">
        <f t="shared" si="9"/>
        <v>9042.869999999999</v>
      </c>
      <c r="Y31" s="569">
        <v>20844.350000000002</v>
      </c>
      <c r="Z31" s="171">
        <f t="shared" si="10"/>
        <v>29887.22</v>
      </c>
      <c r="AA31" s="48">
        <v>19854.190000000006</v>
      </c>
      <c r="AB31" s="238">
        <f t="shared" si="11"/>
        <v>10033.029999999995</v>
      </c>
      <c r="AC31" s="238">
        <v>19189.240000000002</v>
      </c>
      <c r="AD31" s="171">
        <f t="shared" si="12"/>
        <v>29222.269999999997</v>
      </c>
      <c r="AE31" s="238"/>
      <c r="AF31" s="238">
        <f t="shared" si="13"/>
        <v>0</v>
      </c>
      <c r="AG31" s="196">
        <v>24</v>
      </c>
      <c r="AH31" s="73" t="s">
        <v>511</v>
      </c>
      <c r="AI31" s="139" t="s">
        <v>512</v>
      </c>
      <c r="AJ31" s="238">
        <f t="shared" si="14"/>
        <v>0</v>
      </c>
      <c r="AK31" s="238"/>
      <c r="AL31" s="358" t="s">
        <v>511</v>
      </c>
      <c r="AM31" s="48">
        <v>19854.190000000006</v>
      </c>
      <c r="AN31" s="238" t="s">
        <v>511</v>
      </c>
      <c r="AO31" s="238">
        <v>19189.240000000002</v>
      </c>
      <c r="AQ31" s="472">
        <f t="shared" si="15"/>
        <v>0</v>
      </c>
      <c r="AS31" t="s">
        <v>511</v>
      </c>
      <c r="AT31" t="s">
        <v>1838</v>
      </c>
      <c r="AU31" s="48">
        <v>15642.45</v>
      </c>
      <c r="AV31" s="48">
        <v>0</v>
      </c>
      <c r="AW31" s="48">
        <v>0</v>
      </c>
      <c r="AX31" s="48">
        <v>0</v>
      </c>
      <c r="AY31" s="48">
        <v>2834.28</v>
      </c>
      <c r="AZ31" s="48">
        <v>632.42999999999995</v>
      </c>
      <c r="BA31" s="48">
        <v>0</v>
      </c>
      <c r="BB31" s="48">
        <v>0</v>
      </c>
      <c r="BC31" s="48">
        <v>80.08</v>
      </c>
      <c r="BD31" s="48">
        <v>0</v>
      </c>
      <c r="BE31" s="48"/>
      <c r="BF31" s="48">
        <f t="shared" si="3"/>
        <v>19189.240000000002</v>
      </c>
      <c r="BG31" s="48"/>
      <c r="BH31" s="48"/>
      <c r="BI31" s="48" t="str">
        <f t="shared" si="16"/>
        <v>27019</v>
      </c>
      <c r="BJ31" s="48">
        <f t="shared" si="17"/>
        <v>19189.240000000002</v>
      </c>
      <c r="BK31" s="628">
        <f t="shared" si="18"/>
        <v>0</v>
      </c>
    </row>
    <row r="32" spans="1:63">
      <c r="A32" s="196">
        <v>25</v>
      </c>
      <c r="B32" s="73" t="s">
        <v>199</v>
      </c>
      <c r="C32" s="139" t="s">
        <v>200</v>
      </c>
      <c r="D32" s="168">
        <v>37553.340000000004</v>
      </c>
      <c r="E32" s="170">
        <v>75844.11</v>
      </c>
      <c r="F32" s="171">
        <f t="shared" si="4"/>
        <v>113397.45000000001</v>
      </c>
      <c r="G32" s="181">
        <v>82437.240000000005</v>
      </c>
      <c r="H32" s="178">
        <v>30960.210000000006</v>
      </c>
      <c r="I32" s="170">
        <v>101436.2</v>
      </c>
      <c r="J32" s="171">
        <f t="shared" si="5"/>
        <v>132396.41</v>
      </c>
      <c r="K32" s="202">
        <v>142531.88000000003</v>
      </c>
      <c r="L32" s="171">
        <v>0</v>
      </c>
      <c r="M32" s="197">
        <v>107613.41</v>
      </c>
      <c r="N32" s="171">
        <f t="shared" si="6"/>
        <v>107613.41</v>
      </c>
      <c r="O32" s="202">
        <v>146752.41999999998</v>
      </c>
      <c r="P32" s="238">
        <v>0</v>
      </c>
      <c r="Q32" s="197">
        <v>117640.42000000001</v>
      </c>
      <c r="R32" s="171">
        <f t="shared" si="7"/>
        <v>117640.42000000001</v>
      </c>
      <c r="S32" s="202">
        <v>169507.04</v>
      </c>
      <c r="T32" s="238">
        <v>0</v>
      </c>
      <c r="U32" s="238">
        <v>118727.23999999999</v>
      </c>
      <c r="V32" s="171">
        <f t="shared" si="8"/>
        <v>118727.23999999999</v>
      </c>
      <c r="W32" s="56">
        <v>171040.46999999997</v>
      </c>
      <c r="X32" s="568">
        <f t="shared" si="9"/>
        <v>0</v>
      </c>
      <c r="Y32" s="569">
        <v>113589.53</v>
      </c>
      <c r="Z32" s="171">
        <f t="shared" si="10"/>
        <v>113589.53</v>
      </c>
      <c r="AA32" s="48">
        <v>113589.99999999996</v>
      </c>
      <c r="AB32" s="238">
        <f t="shared" si="11"/>
        <v>0</v>
      </c>
      <c r="AC32" s="238">
        <v>112718.90999999999</v>
      </c>
      <c r="AD32" s="171">
        <f t="shared" si="12"/>
        <v>112718.90999999999</v>
      </c>
      <c r="AE32" s="238"/>
      <c r="AF32" s="238">
        <f t="shared" si="13"/>
        <v>0</v>
      </c>
      <c r="AG32" s="196">
        <v>25</v>
      </c>
      <c r="AH32" s="73" t="s">
        <v>199</v>
      </c>
      <c r="AI32" s="139" t="s">
        <v>200</v>
      </c>
      <c r="AJ32" s="238">
        <f t="shared" si="14"/>
        <v>0</v>
      </c>
      <c r="AK32" s="238"/>
      <c r="AL32" s="358" t="s">
        <v>199</v>
      </c>
      <c r="AM32" s="48">
        <v>113589.99999999996</v>
      </c>
      <c r="AN32" s="238" t="s">
        <v>199</v>
      </c>
      <c r="AO32" s="238">
        <v>112718.90999999999</v>
      </c>
      <c r="AQ32" s="472">
        <f t="shared" si="15"/>
        <v>0</v>
      </c>
      <c r="AS32" t="s">
        <v>199</v>
      </c>
      <c r="AT32" t="s">
        <v>1677</v>
      </c>
      <c r="AU32" s="48">
        <v>85592.94</v>
      </c>
      <c r="AV32" s="48">
        <v>11027.68</v>
      </c>
      <c r="AW32" s="48">
        <v>4803.8900000000003</v>
      </c>
      <c r="AX32" s="48">
        <v>0</v>
      </c>
      <c r="AY32" s="48">
        <v>0</v>
      </c>
      <c r="AZ32" s="48">
        <v>5394.37</v>
      </c>
      <c r="BA32" s="48">
        <v>0</v>
      </c>
      <c r="BB32" s="48">
        <v>3453.38</v>
      </c>
      <c r="BC32" s="48">
        <v>527.25</v>
      </c>
      <c r="BD32" s="48">
        <v>1919.4</v>
      </c>
      <c r="BE32" s="48"/>
      <c r="BF32" s="48">
        <f t="shared" si="3"/>
        <v>112718.90999999999</v>
      </c>
      <c r="BG32" s="48"/>
      <c r="BH32" s="48"/>
      <c r="BI32" s="48" t="str">
        <f t="shared" si="16"/>
        <v>04228</v>
      </c>
      <c r="BJ32" s="48">
        <f t="shared" si="17"/>
        <v>112718.90999999999</v>
      </c>
      <c r="BK32" s="628">
        <f t="shared" si="18"/>
        <v>0</v>
      </c>
    </row>
    <row r="33" spans="1:63">
      <c r="A33" s="196">
        <v>26</v>
      </c>
      <c r="B33" s="73" t="s">
        <v>197</v>
      </c>
      <c r="C33" s="139" t="s">
        <v>198</v>
      </c>
      <c r="D33" s="168">
        <v>0</v>
      </c>
      <c r="E33" s="170">
        <v>101689.51000000001</v>
      </c>
      <c r="F33" s="171">
        <f t="shared" si="4"/>
        <v>101689.51000000001</v>
      </c>
      <c r="G33" s="181">
        <v>100717.38</v>
      </c>
      <c r="H33" s="178">
        <v>972.13000000000466</v>
      </c>
      <c r="I33" s="170">
        <v>151027.12</v>
      </c>
      <c r="J33" s="171">
        <f t="shared" si="5"/>
        <v>151999.25</v>
      </c>
      <c r="K33" s="202">
        <v>161485.47</v>
      </c>
      <c r="L33" s="171">
        <v>0</v>
      </c>
      <c r="M33" s="197">
        <v>148797.45000000001</v>
      </c>
      <c r="N33" s="171">
        <f t="shared" si="6"/>
        <v>148797.45000000001</v>
      </c>
      <c r="O33" s="202">
        <v>168177.52000000002</v>
      </c>
      <c r="P33" s="238">
        <v>0</v>
      </c>
      <c r="Q33" s="197">
        <v>164617.56</v>
      </c>
      <c r="R33" s="171">
        <f t="shared" si="7"/>
        <v>164617.56</v>
      </c>
      <c r="S33" s="202">
        <v>186221.86</v>
      </c>
      <c r="T33" s="238">
        <v>0</v>
      </c>
      <c r="U33" s="238">
        <v>168603.78</v>
      </c>
      <c r="V33" s="171">
        <f t="shared" si="8"/>
        <v>168603.78</v>
      </c>
      <c r="W33" s="56">
        <v>188131.16</v>
      </c>
      <c r="X33" s="568">
        <f t="shared" si="9"/>
        <v>0</v>
      </c>
      <c r="Y33" s="569">
        <v>180199.67999999999</v>
      </c>
      <c r="Z33" s="171">
        <f t="shared" si="10"/>
        <v>180199.67999999999</v>
      </c>
      <c r="AA33" s="48">
        <v>190664.45</v>
      </c>
      <c r="AB33" s="238">
        <f t="shared" si="11"/>
        <v>0</v>
      </c>
      <c r="AC33" s="238">
        <v>169157.07999999996</v>
      </c>
      <c r="AD33" s="171">
        <f t="shared" si="12"/>
        <v>169157.07999999996</v>
      </c>
      <c r="AE33" s="238"/>
      <c r="AF33" s="238">
        <f t="shared" si="13"/>
        <v>0</v>
      </c>
      <c r="AG33" s="196">
        <v>26</v>
      </c>
      <c r="AH33" s="73" t="s">
        <v>197</v>
      </c>
      <c r="AI33" s="139" t="s">
        <v>198</v>
      </c>
      <c r="AJ33" s="238">
        <f t="shared" si="14"/>
        <v>0</v>
      </c>
      <c r="AK33" s="238"/>
      <c r="AL33" s="358" t="s">
        <v>197</v>
      </c>
      <c r="AM33" s="48">
        <v>190664.45</v>
      </c>
      <c r="AN33" s="238" t="s">
        <v>197</v>
      </c>
      <c r="AO33" s="238">
        <v>169157.07999999996</v>
      </c>
      <c r="AQ33" s="472">
        <f t="shared" si="15"/>
        <v>0</v>
      </c>
      <c r="AS33" t="s">
        <v>197</v>
      </c>
      <c r="AT33" t="s">
        <v>1676</v>
      </c>
      <c r="AU33" s="48">
        <v>124747.41</v>
      </c>
      <c r="AV33" s="48">
        <v>12467.68</v>
      </c>
      <c r="AW33" s="48">
        <v>4183.1499999999996</v>
      </c>
      <c r="AX33" s="48">
        <v>0</v>
      </c>
      <c r="AY33" s="48">
        <v>14665.83</v>
      </c>
      <c r="AZ33" s="48">
        <v>7623.96</v>
      </c>
      <c r="BA33" s="48">
        <v>0</v>
      </c>
      <c r="BB33" s="48">
        <v>4741.12</v>
      </c>
      <c r="BC33" s="48">
        <v>727.93</v>
      </c>
      <c r="BD33" s="48">
        <v>0</v>
      </c>
      <c r="BE33" s="48"/>
      <c r="BF33" s="48">
        <f t="shared" si="3"/>
        <v>169157.07999999996</v>
      </c>
      <c r="BG33" s="48"/>
      <c r="BH33" s="48"/>
      <c r="BI33" s="48" t="str">
        <f t="shared" si="16"/>
        <v>04222</v>
      </c>
      <c r="BJ33" s="48">
        <f t="shared" si="17"/>
        <v>169157.07999999996</v>
      </c>
      <c r="BK33" s="628">
        <f t="shared" si="18"/>
        <v>0</v>
      </c>
    </row>
    <row r="34" spans="1:63">
      <c r="A34" s="196">
        <v>27</v>
      </c>
      <c r="B34" s="73" t="s">
        <v>237</v>
      </c>
      <c r="C34" s="139" t="s">
        <v>238</v>
      </c>
      <c r="D34" s="168">
        <v>10674.570000000003</v>
      </c>
      <c r="E34" s="170">
        <v>90980.56</v>
      </c>
      <c r="F34" s="171">
        <f t="shared" si="4"/>
        <v>101655.13</v>
      </c>
      <c r="G34" s="181">
        <v>68954.28</v>
      </c>
      <c r="H34" s="178">
        <v>32700.850000000006</v>
      </c>
      <c r="I34" s="170">
        <v>127613.24000000002</v>
      </c>
      <c r="J34" s="171">
        <f t="shared" si="5"/>
        <v>160314.09000000003</v>
      </c>
      <c r="K34" s="202">
        <v>128308.57000000002</v>
      </c>
      <c r="L34" s="171">
        <v>32005.520000000004</v>
      </c>
      <c r="M34" s="197">
        <v>127784.99</v>
      </c>
      <c r="N34" s="171">
        <f t="shared" si="6"/>
        <v>159790.51</v>
      </c>
      <c r="O34" s="202">
        <v>171969.28</v>
      </c>
      <c r="P34" s="238">
        <v>0</v>
      </c>
      <c r="Q34" s="197">
        <v>146105.32999999999</v>
      </c>
      <c r="R34" s="171">
        <f t="shared" si="7"/>
        <v>146105.32999999999</v>
      </c>
      <c r="S34" s="202">
        <v>142129.69</v>
      </c>
      <c r="T34" s="238">
        <v>3975.6399999999849</v>
      </c>
      <c r="U34" s="238">
        <v>148116.64000000001</v>
      </c>
      <c r="V34" s="171">
        <f t="shared" si="8"/>
        <v>152092.28</v>
      </c>
      <c r="W34" s="56">
        <v>153917.43</v>
      </c>
      <c r="X34" s="568">
        <f t="shared" si="9"/>
        <v>0</v>
      </c>
      <c r="Y34" s="569">
        <v>160403.01999999999</v>
      </c>
      <c r="Z34" s="171">
        <f t="shared" si="10"/>
        <v>160403.01999999999</v>
      </c>
      <c r="AA34" s="48">
        <v>151294.26</v>
      </c>
      <c r="AB34" s="238">
        <f t="shared" si="11"/>
        <v>9108.7599999999802</v>
      </c>
      <c r="AC34" s="238">
        <v>154477.84</v>
      </c>
      <c r="AD34" s="171">
        <f t="shared" si="12"/>
        <v>163586.59999999998</v>
      </c>
      <c r="AE34" s="238"/>
      <c r="AF34" s="238">
        <f t="shared" si="13"/>
        <v>0</v>
      </c>
      <c r="AG34" s="196">
        <v>27</v>
      </c>
      <c r="AH34" s="73" t="s">
        <v>237</v>
      </c>
      <c r="AI34" s="139" t="s">
        <v>238</v>
      </c>
      <c r="AJ34" s="238">
        <f t="shared" si="14"/>
        <v>0</v>
      </c>
      <c r="AK34" s="238"/>
      <c r="AL34" s="358" t="s">
        <v>237</v>
      </c>
      <c r="AM34" s="48">
        <v>151294.26</v>
      </c>
      <c r="AN34" s="238" t="s">
        <v>237</v>
      </c>
      <c r="AO34" s="238">
        <v>154477.84</v>
      </c>
      <c r="AQ34" s="472">
        <f t="shared" si="15"/>
        <v>0</v>
      </c>
      <c r="AS34" t="s">
        <v>237</v>
      </c>
      <c r="AT34" t="s">
        <v>1698</v>
      </c>
      <c r="AU34" s="48">
        <v>107756.24</v>
      </c>
      <c r="AV34" s="48">
        <v>7956.65</v>
      </c>
      <c r="AW34" s="48">
        <v>565.79999999999995</v>
      </c>
      <c r="AX34" s="48">
        <v>0</v>
      </c>
      <c r="AY34" s="48">
        <v>25170.37</v>
      </c>
      <c r="AZ34" s="48">
        <v>7253.63</v>
      </c>
      <c r="BA34" s="48">
        <v>4529.47</v>
      </c>
      <c r="BB34" s="48">
        <v>632.09</v>
      </c>
      <c r="BC34" s="48">
        <v>613.59</v>
      </c>
      <c r="BD34" s="48">
        <v>0</v>
      </c>
      <c r="BE34" s="48"/>
      <c r="BF34" s="48">
        <f t="shared" si="3"/>
        <v>154477.84</v>
      </c>
      <c r="BG34" s="48"/>
      <c r="BH34" s="48"/>
      <c r="BI34" s="48" t="str">
        <f t="shared" si="16"/>
        <v>08401</v>
      </c>
      <c r="BJ34" s="48">
        <f t="shared" si="17"/>
        <v>154477.84</v>
      </c>
      <c r="BK34" s="628">
        <f t="shared" si="18"/>
        <v>0</v>
      </c>
    </row>
    <row r="35" spans="1:63">
      <c r="A35" s="196">
        <v>28</v>
      </c>
      <c r="B35" s="172" t="s">
        <v>1575</v>
      </c>
      <c r="C35" s="73" t="s">
        <v>1579</v>
      </c>
      <c r="D35" s="168"/>
      <c r="E35" s="170"/>
      <c r="F35" s="171">
        <f t="shared" si="4"/>
        <v>0</v>
      </c>
      <c r="G35" s="181"/>
      <c r="H35" s="179">
        <v>0</v>
      </c>
      <c r="I35" s="170">
        <v>20871.8</v>
      </c>
      <c r="J35" s="171">
        <f t="shared" si="5"/>
        <v>20871.8</v>
      </c>
      <c r="K35" s="202">
        <v>16368.93</v>
      </c>
      <c r="L35" s="171">
        <v>4502.869999999999</v>
      </c>
      <c r="M35" s="197">
        <v>34659</v>
      </c>
      <c r="N35" s="171">
        <f t="shared" si="6"/>
        <v>39161.869999999995</v>
      </c>
      <c r="O35" s="202">
        <v>30702.32</v>
      </c>
      <c r="P35" s="238">
        <v>8459.5499999999956</v>
      </c>
      <c r="Q35" s="197">
        <v>55331.329999999994</v>
      </c>
      <c r="R35" s="171">
        <f t="shared" si="7"/>
        <v>63790.87999999999</v>
      </c>
      <c r="S35" s="202">
        <v>36244.579999999994</v>
      </c>
      <c r="T35" s="238">
        <v>27546.299999999996</v>
      </c>
      <c r="U35" s="238">
        <v>60312.58</v>
      </c>
      <c r="V35" s="171">
        <f t="shared" si="8"/>
        <v>87858.880000000005</v>
      </c>
      <c r="W35" s="56">
        <v>39637.99</v>
      </c>
      <c r="X35" s="568">
        <f t="shared" si="9"/>
        <v>48220.890000000007</v>
      </c>
      <c r="Y35" s="569">
        <v>81897.689999999988</v>
      </c>
      <c r="Z35" s="171">
        <f t="shared" si="10"/>
        <v>130118.57999999999</v>
      </c>
      <c r="AA35" s="48">
        <v>79408.83</v>
      </c>
      <c r="AB35" s="238">
        <f t="shared" si="11"/>
        <v>50709.749999999985</v>
      </c>
      <c r="AC35" s="238">
        <v>81595.090000000011</v>
      </c>
      <c r="AD35" s="171">
        <f t="shared" si="12"/>
        <v>132304.84</v>
      </c>
      <c r="AE35" s="238"/>
      <c r="AF35" s="238">
        <f t="shared" si="13"/>
        <v>0</v>
      </c>
      <c r="AG35" s="196">
        <v>28</v>
      </c>
      <c r="AH35" s="172" t="s">
        <v>1575</v>
      </c>
      <c r="AI35" s="73" t="s">
        <v>1579</v>
      </c>
      <c r="AJ35" s="238">
        <f t="shared" si="14"/>
        <v>0</v>
      </c>
      <c r="AK35" s="238"/>
      <c r="AL35" s="358" t="s">
        <v>1575</v>
      </c>
      <c r="AM35" s="48">
        <v>79408.83</v>
      </c>
      <c r="AN35" s="238" t="s">
        <v>1575</v>
      </c>
      <c r="AO35" s="238">
        <v>81595.090000000011</v>
      </c>
      <c r="AQ35" s="472">
        <f t="shared" si="15"/>
        <v>0</v>
      </c>
      <c r="AS35" t="s">
        <v>1575</v>
      </c>
      <c r="AT35" t="s">
        <v>1964</v>
      </c>
      <c r="AU35" s="48">
        <v>67835.820000000007</v>
      </c>
      <c r="AV35" s="48">
        <v>0</v>
      </c>
      <c r="AW35" s="48">
        <v>0</v>
      </c>
      <c r="AX35" s="48">
        <v>0</v>
      </c>
      <c r="AY35" s="48">
        <v>10324.64</v>
      </c>
      <c r="AZ35" s="48">
        <v>2990.75</v>
      </c>
      <c r="BA35" s="48">
        <v>0</v>
      </c>
      <c r="BB35" s="48">
        <v>172.82</v>
      </c>
      <c r="BC35" s="48">
        <v>271.06</v>
      </c>
      <c r="BD35" s="48">
        <v>0</v>
      </c>
      <c r="BE35" s="48"/>
      <c r="BF35" s="48">
        <f t="shared" si="3"/>
        <v>81595.090000000011</v>
      </c>
      <c r="BG35" s="48"/>
      <c r="BH35" s="48"/>
      <c r="BI35" s="48" t="str">
        <f t="shared" si="16"/>
        <v>18901</v>
      </c>
      <c r="BJ35" s="48">
        <f t="shared" si="17"/>
        <v>81595.090000000011</v>
      </c>
      <c r="BK35" s="628">
        <f t="shared" si="18"/>
        <v>0</v>
      </c>
    </row>
    <row r="36" spans="1:63">
      <c r="A36" s="196">
        <v>29</v>
      </c>
      <c r="B36" s="73" t="s">
        <v>400</v>
      </c>
      <c r="C36" s="139" t="s">
        <v>401</v>
      </c>
      <c r="D36" s="168">
        <v>0</v>
      </c>
      <c r="E36" s="170">
        <v>5277.8600000000006</v>
      </c>
      <c r="F36" s="171">
        <f t="shared" si="4"/>
        <v>5277.8600000000006</v>
      </c>
      <c r="G36" s="181">
        <v>4978.6400000000003</v>
      </c>
      <c r="H36" s="178">
        <v>299.22000000000025</v>
      </c>
      <c r="I36" s="170">
        <v>8200.2199999999993</v>
      </c>
      <c r="J36" s="171">
        <f t="shared" si="5"/>
        <v>8499.4399999999987</v>
      </c>
      <c r="K36" s="202">
        <v>4430.5200000000004</v>
      </c>
      <c r="L36" s="171">
        <v>4068.9199999999983</v>
      </c>
      <c r="M36" s="197">
        <v>8289.3599999999988</v>
      </c>
      <c r="N36" s="171">
        <f t="shared" si="6"/>
        <v>12358.279999999997</v>
      </c>
      <c r="O36" s="202">
        <v>7173.55</v>
      </c>
      <c r="P36" s="238">
        <v>5184.7299999999968</v>
      </c>
      <c r="Q36" s="197">
        <v>9609.7100000000009</v>
      </c>
      <c r="R36" s="171">
        <f t="shared" si="7"/>
        <v>14794.439999999999</v>
      </c>
      <c r="S36" s="202">
        <v>7932.37</v>
      </c>
      <c r="T36" s="238">
        <v>6862.0699999999988</v>
      </c>
      <c r="U36" s="238">
        <v>9326.7599999999984</v>
      </c>
      <c r="V36" s="171">
        <f t="shared" si="8"/>
        <v>16188.829999999998</v>
      </c>
      <c r="W36" s="56">
        <v>8254.25</v>
      </c>
      <c r="X36" s="568">
        <f t="shared" si="9"/>
        <v>7934.5799999999981</v>
      </c>
      <c r="Y36" s="569">
        <v>9755.6499999999978</v>
      </c>
      <c r="Z36" s="171">
        <f t="shared" si="10"/>
        <v>17690.229999999996</v>
      </c>
      <c r="AA36" s="48">
        <v>7531.3600000000006</v>
      </c>
      <c r="AB36" s="238">
        <f t="shared" si="11"/>
        <v>10158.869999999995</v>
      </c>
      <c r="AC36" s="238">
        <v>10098.040000000001</v>
      </c>
      <c r="AD36" s="171">
        <f t="shared" si="12"/>
        <v>20256.909999999996</v>
      </c>
      <c r="AE36" s="238"/>
      <c r="AF36" s="238">
        <f t="shared" si="13"/>
        <v>0</v>
      </c>
      <c r="AG36" s="196">
        <v>29</v>
      </c>
      <c r="AH36" s="73" t="s">
        <v>400</v>
      </c>
      <c r="AI36" s="139" t="s">
        <v>401</v>
      </c>
      <c r="AJ36" s="238">
        <f t="shared" si="14"/>
        <v>0</v>
      </c>
      <c r="AK36" s="238"/>
      <c r="AL36" s="358" t="s">
        <v>400</v>
      </c>
      <c r="AM36" s="48">
        <v>7531.3600000000006</v>
      </c>
      <c r="AN36" s="238" t="s">
        <v>400</v>
      </c>
      <c r="AO36" s="238">
        <v>10098.040000000001</v>
      </c>
      <c r="AQ36" s="472">
        <f t="shared" si="15"/>
        <v>0</v>
      </c>
      <c r="AS36" t="s">
        <v>400</v>
      </c>
      <c r="AT36" t="s">
        <v>1783</v>
      </c>
      <c r="AU36" s="48">
        <v>9723.42</v>
      </c>
      <c r="AV36" s="48">
        <v>0</v>
      </c>
      <c r="AW36" s="48">
        <v>0</v>
      </c>
      <c r="AX36" s="48">
        <v>0</v>
      </c>
      <c r="AY36" s="48">
        <v>0</v>
      </c>
      <c r="AZ36" s="48">
        <v>333</v>
      </c>
      <c r="BA36" s="48">
        <v>0</v>
      </c>
      <c r="BB36" s="48">
        <v>0</v>
      </c>
      <c r="BC36" s="48">
        <v>41.62</v>
      </c>
      <c r="BD36" s="48">
        <v>0</v>
      </c>
      <c r="BE36" s="48"/>
      <c r="BF36" s="48">
        <f t="shared" si="3"/>
        <v>10098.040000000001</v>
      </c>
      <c r="BG36" s="48"/>
      <c r="BH36" s="48"/>
      <c r="BI36" s="48" t="str">
        <f t="shared" si="16"/>
        <v>20215</v>
      </c>
      <c r="BJ36" s="48">
        <f t="shared" si="17"/>
        <v>10098.040000000001</v>
      </c>
      <c r="BK36" s="628">
        <f t="shared" si="18"/>
        <v>0</v>
      </c>
    </row>
    <row r="37" spans="1:63">
      <c r="A37" s="196">
        <v>30</v>
      </c>
      <c r="B37" s="73" t="s">
        <v>380</v>
      </c>
      <c r="C37" s="139" t="s">
        <v>381</v>
      </c>
      <c r="D37" s="168">
        <v>98218.450000000012</v>
      </c>
      <c r="E37" s="170">
        <v>827753.23</v>
      </c>
      <c r="F37" s="171">
        <f t="shared" si="4"/>
        <v>925971.67999999993</v>
      </c>
      <c r="G37" s="181">
        <v>653734.68000000005</v>
      </c>
      <c r="H37" s="178">
        <v>272236.99999999988</v>
      </c>
      <c r="I37" s="170">
        <v>1097864.22</v>
      </c>
      <c r="J37" s="171">
        <f t="shared" si="5"/>
        <v>1370101.2199999997</v>
      </c>
      <c r="K37" s="202">
        <v>1992802.23</v>
      </c>
      <c r="L37" s="171">
        <v>0</v>
      </c>
      <c r="M37" s="197">
        <v>1134960.98</v>
      </c>
      <c r="N37" s="171">
        <f t="shared" si="6"/>
        <v>1134960.98</v>
      </c>
      <c r="O37" s="202">
        <v>1134960.98</v>
      </c>
      <c r="P37" s="238">
        <v>0</v>
      </c>
      <c r="Q37" s="197">
        <v>1229228.1099999999</v>
      </c>
      <c r="R37" s="171">
        <f t="shared" si="7"/>
        <v>1229228.1099999999</v>
      </c>
      <c r="S37" s="202">
        <v>1229316.29</v>
      </c>
      <c r="T37" s="238">
        <v>0</v>
      </c>
      <c r="U37" s="238">
        <v>1304418.17</v>
      </c>
      <c r="V37" s="171">
        <f t="shared" si="8"/>
        <v>1304418.17</v>
      </c>
      <c r="W37" s="56">
        <v>1304418.7399999984</v>
      </c>
      <c r="X37" s="568">
        <f t="shared" si="9"/>
        <v>0</v>
      </c>
      <c r="Y37" s="569">
        <v>1387981.52</v>
      </c>
      <c r="Z37" s="171">
        <f t="shared" si="10"/>
        <v>1387981.52</v>
      </c>
      <c r="AA37" s="48">
        <v>1387643.2100000002</v>
      </c>
      <c r="AB37" s="238">
        <f t="shared" si="11"/>
        <v>338.30999999982305</v>
      </c>
      <c r="AC37" s="238">
        <v>1347084.53</v>
      </c>
      <c r="AD37" s="171">
        <f t="shared" si="12"/>
        <v>1347422.8399999999</v>
      </c>
      <c r="AE37" s="238"/>
      <c r="AF37" s="238">
        <f t="shared" si="13"/>
        <v>0</v>
      </c>
      <c r="AG37" s="196">
        <v>30</v>
      </c>
      <c r="AH37" s="73" t="s">
        <v>380</v>
      </c>
      <c r="AI37" s="139" t="s">
        <v>381</v>
      </c>
      <c r="AJ37" s="238">
        <f t="shared" si="14"/>
        <v>0</v>
      </c>
      <c r="AK37" s="238"/>
      <c r="AL37" s="358" t="s">
        <v>380</v>
      </c>
      <c r="AM37" s="48">
        <v>1387643.2100000002</v>
      </c>
      <c r="AN37" s="238" t="s">
        <v>380</v>
      </c>
      <c r="AO37" s="238">
        <v>1347084.53</v>
      </c>
      <c r="AQ37" s="472">
        <f t="shared" si="15"/>
        <v>0</v>
      </c>
      <c r="AS37" t="s">
        <v>380</v>
      </c>
      <c r="AT37" t="s">
        <v>1772</v>
      </c>
      <c r="AU37" s="48">
        <v>997951.57</v>
      </c>
      <c r="AV37" s="48">
        <v>67855.740000000005</v>
      </c>
      <c r="AW37" s="48">
        <v>12293.29</v>
      </c>
      <c r="AX37" s="48">
        <v>0</v>
      </c>
      <c r="AY37" s="48">
        <v>180538.44</v>
      </c>
      <c r="AZ37" s="48">
        <v>51437.72</v>
      </c>
      <c r="BA37" s="48">
        <v>9389.25</v>
      </c>
      <c r="BB37" s="48">
        <v>15108.94</v>
      </c>
      <c r="BC37" s="48">
        <v>5875.8</v>
      </c>
      <c r="BD37" s="48">
        <v>6633.78</v>
      </c>
      <c r="BE37" s="48"/>
      <c r="BF37" s="48">
        <f t="shared" si="3"/>
        <v>1347084.53</v>
      </c>
      <c r="BG37" s="48"/>
      <c r="BH37" s="48"/>
      <c r="BI37" s="48" t="str">
        <f t="shared" si="16"/>
        <v>18401</v>
      </c>
      <c r="BJ37" s="48">
        <f t="shared" si="17"/>
        <v>1347084.53</v>
      </c>
      <c r="BK37" s="628">
        <f t="shared" si="18"/>
        <v>0</v>
      </c>
    </row>
    <row r="38" spans="1:63">
      <c r="A38" s="196">
        <v>31</v>
      </c>
      <c r="B38" s="73" t="s">
        <v>604</v>
      </c>
      <c r="C38" s="139" t="s">
        <v>605</v>
      </c>
      <c r="D38" s="168">
        <v>0</v>
      </c>
      <c r="E38" s="170">
        <v>876722.45999999985</v>
      </c>
      <c r="F38" s="171">
        <f t="shared" si="4"/>
        <v>876722.45999999985</v>
      </c>
      <c r="G38" s="181">
        <v>1072817.82</v>
      </c>
      <c r="H38" s="178">
        <v>0</v>
      </c>
      <c r="I38" s="170">
        <v>1236070.1399999999</v>
      </c>
      <c r="J38" s="171">
        <f t="shared" si="5"/>
        <v>1236070.1399999999</v>
      </c>
      <c r="K38" s="202">
        <v>1101982.0000000002</v>
      </c>
      <c r="L38" s="171">
        <v>134088.13999999966</v>
      </c>
      <c r="M38" s="197">
        <v>1266040.7</v>
      </c>
      <c r="N38" s="171">
        <f t="shared" si="6"/>
        <v>1400128.8399999996</v>
      </c>
      <c r="O38" s="202">
        <v>1032708.98</v>
      </c>
      <c r="P38" s="238">
        <v>367419.85999999964</v>
      </c>
      <c r="Q38" s="197">
        <v>1387423.1199999999</v>
      </c>
      <c r="R38" s="171">
        <f t="shared" si="7"/>
        <v>1754842.9799999995</v>
      </c>
      <c r="S38" s="202">
        <v>1243762.2200000002</v>
      </c>
      <c r="T38" s="238">
        <v>511080.75999999931</v>
      </c>
      <c r="U38" s="238">
        <v>1504449.7299999997</v>
      </c>
      <c r="V38" s="171">
        <f t="shared" si="8"/>
        <v>2015530.4899999991</v>
      </c>
      <c r="W38" s="56">
        <v>1056773.0499999996</v>
      </c>
      <c r="X38" s="568">
        <f t="shared" si="9"/>
        <v>958757.43999999948</v>
      </c>
      <c r="Y38" s="569">
        <v>1616854.8599999996</v>
      </c>
      <c r="Z38" s="171">
        <f t="shared" si="10"/>
        <v>2575612.2999999989</v>
      </c>
      <c r="AA38" s="48">
        <v>1148563.1799999995</v>
      </c>
      <c r="AB38" s="238">
        <f t="shared" si="11"/>
        <v>1427049.1199999994</v>
      </c>
      <c r="AC38" s="238">
        <v>1591229.1</v>
      </c>
      <c r="AD38" s="171">
        <f t="shared" si="12"/>
        <v>3018278.2199999997</v>
      </c>
      <c r="AE38" s="238"/>
      <c r="AF38" s="238">
        <f t="shared" si="13"/>
        <v>0</v>
      </c>
      <c r="AG38" s="196">
        <v>31</v>
      </c>
      <c r="AH38" s="73" t="s">
        <v>604</v>
      </c>
      <c r="AI38" s="139" t="s">
        <v>605</v>
      </c>
      <c r="AJ38" s="238">
        <f t="shared" si="14"/>
        <v>0</v>
      </c>
      <c r="AK38" s="238"/>
      <c r="AL38" s="358" t="s">
        <v>604</v>
      </c>
      <c r="AM38" s="48">
        <v>1148563.1799999995</v>
      </c>
      <c r="AN38" s="238" t="s">
        <v>604</v>
      </c>
      <c r="AO38" s="238">
        <v>1591229.1</v>
      </c>
      <c r="AQ38" s="472">
        <f t="shared" si="15"/>
        <v>0</v>
      </c>
      <c r="AS38" t="s">
        <v>604</v>
      </c>
      <c r="AT38" t="s">
        <v>1884</v>
      </c>
      <c r="AU38" s="48">
        <v>1113818.52</v>
      </c>
      <c r="AV38" s="48">
        <v>65522.7</v>
      </c>
      <c r="AW38" s="48">
        <v>41478.79</v>
      </c>
      <c r="AX38" s="48">
        <v>6722.86</v>
      </c>
      <c r="AY38" s="48">
        <v>248684</v>
      </c>
      <c r="AZ38" s="48">
        <v>64454.87</v>
      </c>
      <c r="BA38" s="48">
        <v>20681.669999999998</v>
      </c>
      <c r="BB38" s="48">
        <v>23272.7</v>
      </c>
      <c r="BC38" s="48">
        <v>6592.99</v>
      </c>
      <c r="BD38" s="48">
        <v>0</v>
      </c>
      <c r="BE38" s="48"/>
      <c r="BF38" s="48">
        <f t="shared" si="3"/>
        <v>1591229.1</v>
      </c>
      <c r="BG38" s="48"/>
      <c r="BH38" s="48"/>
      <c r="BI38" s="48" t="str">
        <f t="shared" si="16"/>
        <v>32356</v>
      </c>
      <c r="BJ38" s="48">
        <f t="shared" si="17"/>
        <v>1591229.1</v>
      </c>
      <c r="BK38" s="628">
        <f t="shared" si="18"/>
        <v>0</v>
      </c>
    </row>
    <row r="39" spans="1:63">
      <c r="A39" s="196">
        <v>32</v>
      </c>
      <c r="B39" s="73" t="s">
        <v>440</v>
      </c>
      <c r="C39" s="139" t="s">
        <v>441</v>
      </c>
      <c r="D39" s="168">
        <v>2863.3300000000163</v>
      </c>
      <c r="E39" s="170">
        <v>224913.62</v>
      </c>
      <c r="F39" s="171">
        <f t="shared" si="4"/>
        <v>227776.95</v>
      </c>
      <c r="G39" s="181">
        <v>230166.2</v>
      </c>
      <c r="H39" s="178">
        <v>0</v>
      </c>
      <c r="I39" s="170">
        <v>331220.31000000006</v>
      </c>
      <c r="J39" s="171">
        <f t="shared" si="5"/>
        <v>331220.31000000006</v>
      </c>
      <c r="K39" s="202">
        <v>319231.03999999998</v>
      </c>
      <c r="L39" s="171">
        <v>11989.270000000077</v>
      </c>
      <c r="M39" s="197">
        <v>338708.95</v>
      </c>
      <c r="N39" s="171">
        <f t="shared" si="6"/>
        <v>350698.22000000009</v>
      </c>
      <c r="O39" s="202">
        <v>322226.94999999995</v>
      </c>
      <c r="P39" s="238">
        <v>28471.270000000135</v>
      </c>
      <c r="Q39" s="197">
        <v>372653.76</v>
      </c>
      <c r="R39" s="171">
        <f t="shared" si="7"/>
        <v>401125.03000000014</v>
      </c>
      <c r="S39" s="202">
        <v>368899.55</v>
      </c>
      <c r="T39" s="238">
        <v>32225.480000000156</v>
      </c>
      <c r="U39" s="238">
        <v>374786.54</v>
      </c>
      <c r="V39" s="171">
        <f t="shared" si="8"/>
        <v>407012.02000000014</v>
      </c>
      <c r="W39" s="56">
        <v>139132.17999999991</v>
      </c>
      <c r="X39" s="568">
        <f t="shared" si="9"/>
        <v>267879.8400000002</v>
      </c>
      <c r="Y39" s="569">
        <v>382042.49</v>
      </c>
      <c r="Z39" s="171">
        <f t="shared" si="10"/>
        <v>649922.33000000019</v>
      </c>
      <c r="AA39" s="48">
        <v>398046.88000000018</v>
      </c>
      <c r="AB39" s="238">
        <f t="shared" si="11"/>
        <v>251875.45</v>
      </c>
      <c r="AC39" s="238">
        <v>371119.76999999996</v>
      </c>
      <c r="AD39" s="171">
        <f t="shared" si="12"/>
        <v>622995.22</v>
      </c>
      <c r="AE39" s="238"/>
      <c r="AF39" s="238">
        <f t="shared" si="13"/>
        <v>0</v>
      </c>
      <c r="AG39" s="196">
        <v>32</v>
      </c>
      <c r="AH39" s="73" t="s">
        <v>440</v>
      </c>
      <c r="AI39" s="139" t="s">
        <v>441</v>
      </c>
      <c r="AJ39" s="238">
        <f t="shared" si="14"/>
        <v>0</v>
      </c>
      <c r="AK39" s="238"/>
      <c r="AL39" s="358" t="s">
        <v>440</v>
      </c>
      <c r="AM39" s="48">
        <v>398046.88000000018</v>
      </c>
      <c r="AN39" s="238" t="s">
        <v>440</v>
      </c>
      <c r="AO39" s="238">
        <v>371119.76999999996</v>
      </c>
      <c r="AQ39" s="472">
        <f t="shared" si="15"/>
        <v>0</v>
      </c>
      <c r="AS39" t="s">
        <v>440</v>
      </c>
      <c r="AT39" t="s">
        <v>1803</v>
      </c>
      <c r="AU39" s="48">
        <v>236399.25</v>
      </c>
      <c r="AV39" s="48">
        <v>25854.1</v>
      </c>
      <c r="AW39" s="48">
        <v>9410.4599999999991</v>
      </c>
      <c r="AX39" s="48">
        <v>0</v>
      </c>
      <c r="AY39" s="48">
        <v>46503.62</v>
      </c>
      <c r="AZ39" s="48">
        <v>23302.61</v>
      </c>
      <c r="BA39" s="48">
        <v>14852.62</v>
      </c>
      <c r="BB39" s="48">
        <v>13355.64</v>
      </c>
      <c r="BC39" s="48">
        <v>1441.47</v>
      </c>
      <c r="BD39" s="48">
        <v>0</v>
      </c>
      <c r="BE39" s="48"/>
      <c r="BF39" s="48">
        <f t="shared" si="3"/>
        <v>371119.76999999996</v>
      </c>
      <c r="BG39" s="48"/>
      <c r="BH39" s="48"/>
      <c r="BI39" s="48" t="str">
        <f t="shared" si="16"/>
        <v>21401</v>
      </c>
      <c r="BJ39" s="48">
        <f t="shared" si="17"/>
        <v>371119.76999999996</v>
      </c>
      <c r="BK39" s="628">
        <f t="shared" si="18"/>
        <v>0</v>
      </c>
    </row>
    <row r="40" spans="1:63">
      <c r="A40" s="196">
        <v>33</v>
      </c>
      <c r="B40" s="73" t="s">
        <v>436</v>
      </c>
      <c r="C40" s="139" t="s">
        <v>437</v>
      </c>
      <c r="D40" s="168">
        <v>0</v>
      </c>
      <c r="E40" s="170">
        <v>190269.51</v>
      </c>
      <c r="F40" s="171">
        <f t="shared" ref="F40:F71" si="19">+D40+E40</f>
        <v>190269.51</v>
      </c>
      <c r="G40" s="181">
        <v>196864.37</v>
      </c>
      <c r="H40" s="178">
        <v>0</v>
      </c>
      <c r="I40" s="170">
        <v>275721.3</v>
      </c>
      <c r="J40" s="171">
        <f t="shared" ref="J40:J71" si="20">+H40+I40</f>
        <v>275721.3</v>
      </c>
      <c r="K40" s="202">
        <v>292409.83999999997</v>
      </c>
      <c r="L40" s="171">
        <v>0</v>
      </c>
      <c r="M40" s="197">
        <v>271014.65999999997</v>
      </c>
      <c r="N40" s="171">
        <f t="shared" ref="N40:N71" si="21">+L40+M40</f>
        <v>271014.65999999997</v>
      </c>
      <c r="O40" s="202">
        <v>286190.07000000007</v>
      </c>
      <c r="P40" s="238">
        <v>0</v>
      </c>
      <c r="Q40" s="197">
        <v>287566.2</v>
      </c>
      <c r="R40" s="171">
        <f t="shared" ref="R40:R71" si="22">+P40+Q40</f>
        <v>287566.2</v>
      </c>
      <c r="S40" s="202">
        <v>317721.88</v>
      </c>
      <c r="T40" s="238">
        <v>0</v>
      </c>
      <c r="U40" s="238">
        <v>305620.03999999998</v>
      </c>
      <c r="V40" s="171">
        <f t="shared" ref="V40:V71" si="23">+T40+U40</f>
        <v>305620.03999999998</v>
      </c>
      <c r="W40" s="56">
        <v>330834.35999999993</v>
      </c>
      <c r="X40" s="568">
        <f t="shared" si="9"/>
        <v>0</v>
      </c>
      <c r="Y40" s="569">
        <v>326847.23999999993</v>
      </c>
      <c r="Z40" s="171">
        <f t="shared" ref="Z40:Z71" si="24">+X40+Y40</f>
        <v>326847.23999999993</v>
      </c>
      <c r="AA40" s="48">
        <v>353828.37999999995</v>
      </c>
      <c r="AB40" s="238">
        <f t="shared" si="11"/>
        <v>0</v>
      </c>
      <c r="AC40" s="238">
        <v>321247.73</v>
      </c>
      <c r="AD40" s="171">
        <f t="shared" ref="AD40:AD71" si="25">+AB40+AC40</f>
        <v>321247.73</v>
      </c>
      <c r="AE40" s="238"/>
      <c r="AF40" s="238">
        <f t="shared" si="13"/>
        <v>0</v>
      </c>
      <c r="AG40" s="196">
        <v>33</v>
      </c>
      <c r="AH40" s="73" t="s">
        <v>436</v>
      </c>
      <c r="AI40" s="139" t="s">
        <v>437</v>
      </c>
      <c r="AJ40" s="238">
        <f t="shared" si="14"/>
        <v>0</v>
      </c>
      <c r="AK40" s="238"/>
      <c r="AL40" s="358" t="s">
        <v>436</v>
      </c>
      <c r="AM40" s="48">
        <v>353828.37999999995</v>
      </c>
      <c r="AN40" s="238" t="s">
        <v>436</v>
      </c>
      <c r="AO40" s="238">
        <v>321247.73</v>
      </c>
      <c r="AQ40" s="472">
        <f t="shared" si="15"/>
        <v>0</v>
      </c>
      <c r="AS40" t="s">
        <v>436</v>
      </c>
      <c r="AT40" t="s">
        <v>1801</v>
      </c>
      <c r="AU40" s="48">
        <v>230302.68</v>
      </c>
      <c r="AV40" s="48">
        <v>20171.810000000001</v>
      </c>
      <c r="AW40" s="48">
        <v>0</v>
      </c>
      <c r="AX40" s="48">
        <v>0</v>
      </c>
      <c r="AY40" s="48">
        <v>41920.879999999997</v>
      </c>
      <c r="AZ40" s="48">
        <v>16200.29</v>
      </c>
      <c r="BA40" s="48">
        <v>7737.79</v>
      </c>
      <c r="BB40" s="48">
        <v>3581.89</v>
      </c>
      <c r="BC40" s="48">
        <v>1332.39</v>
      </c>
      <c r="BD40" s="48">
        <v>0</v>
      </c>
      <c r="BE40" s="48"/>
      <c r="BF40" s="48">
        <f t="shared" si="3"/>
        <v>321247.73</v>
      </c>
      <c r="BG40" s="48"/>
      <c r="BH40" s="48"/>
      <c r="BI40" s="48" t="str">
        <f t="shared" si="16"/>
        <v>21302</v>
      </c>
      <c r="BJ40" s="48">
        <f t="shared" si="17"/>
        <v>321247.73</v>
      </c>
      <c r="BK40" s="628">
        <f t="shared" si="18"/>
        <v>0</v>
      </c>
    </row>
    <row r="41" spans="1:63">
      <c r="A41" s="196">
        <v>34</v>
      </c>
      <c r="B41" s="73" t="s">
        <v>608</v>
      </c>
      <c r="C41" s="139" t="s">
        <v>609</v>
      </c>
      <c r="D41" s="168">
        <v>31461.710000000006</v>
      </c>
      <c r="E41" s="170">
        <v>312671.68000000005</v>
      </c>
      <c r="F41" s="171">
        <f t="shared" si="19"/>
        <v>344133.39000000007</v>
      </c>
      <c r="G41" s="181">
        <v>324839.05</v>
      </c>
      <c r="H41" s="178">
        <v>19294.340000000084</v>
      </c>
      <c r="I41" s="170">
        <v>438704.27</v>
      </c>
      <c r="J41" s="171">
        <f t="shared" si="20"/>
        <v>457998.6100000001</v>
      </c>
      <c r="K41" s="202">
        <v>478598.86000000016</v>
      </c>
      <c r="L41" s="171">
        <v>0</v>
      </c>
      <c r="M41" s="197">
        <v>463817.02999999997</v>
      </c>
      <c r="N41" s="171">
        <f t="shared" si="21"/>
        <v>463817.02999999997</v>
      </c>
      <c r="O41" s="202">
        <v>503099.9</v>
      </c>
      <c r="P41" s="238">
        <v>0</v>
      </c>
      <c r="Q41" s="197">
        <v>516782.13</v>
      </c>
      <c r="R41" s="171">
        <f t="shared" si="22"/>
        <v>516782.13</v>
      </c>
      <c r="S41" s="202">
        <v>504559.11000000004</v>
      </c>
      <c r="T41" s="238">
        <v>12223.01999999996</v>
      </c>
      <c r="U41" s="238">
        <v>553524.99</v>
      </c>
      <c r="V41" s="171">
        <f t="shared" si="23"/>
        <v>565748.01</v>
      </c>
      <c r="W41" s="56">
        <v>530558.24999999965</v>
      </c>
      <c r="X41" s="568">
        <f t="shared" si="9"/>
        <v>35189.760000000359</v>
      </c>
      <c r="Y41" s="569">
        <v>586686.81999999995</v>
      </c>
      <c r="Z41" s="171">
        <f t="shared" si="24"/>
        <v>621876.58000000031</v>
      </c>
      <c r="AA41" s="48">
        <v>573289.75000000012</v>
      </c>
      <c r="AB41" s="238">
        <f t="shared" si="11"/>
        <v>48586.830000000191</v>
      </c>
      <c r="AC41" s="238">
        <v>589820.95999999985</v>
      </c>
      <c r="AD41" s="171">
        <f t="shared" si="25"/>
        <v>638407.79</v>
      </c>
      <c r="AE41" s="238"/>
      <c r="AF41" s="238">
        <f t="shared" si="13"/>
        <v>0</v>
      </c>
      <c r="AG41" s="196">
        <v>34</v>
      </c>
      <c r="AH41" s="73" t="s">
        <v>608</v>
      </c>
      <c r="AI41" s="139" t="s">
        <v>609</v>
      </c>
      <c r="AJ41" s="238">
        <f t="shared" si="14"/>
        <v>0</v>
      </c>
      <c r="AK41" s="238"/>
      <c r="AL41" s="358" t="s">
        <v>608</v>
      </c>
      <c r="AM41" s="48">
        <v>573289.75000000012</v>
      </c>
      <c r="AN41" s="238" t="s">
        <v>608</v>
      </c>
      <c r="AO41" s="238">
        <v>589820.95999999985</v>
      </c>
      <c r="AQ41" s="472">
        <f t="shared" si="15"/>
        <v>0</v>
      </c>
      <c r="AS41" t="s">
        <v>608</v>
      </c>
      <c r="AT41" t="s">
        <v>1886</v>
      </c>
      <c r="AU41" s="48">
        <v>412994.91</v>
      </c>
      <c r="AV41" s="48">
        <v>18347.62</v>
      </c>
      <c r="AW41" s="48">
        <v>8807.66</v>
      </c>
      <c r="AX41" s="48">
        <v>0</v>
      </c>
      <c r="AY41" s="48">
        <v>92128.83</v>
      </c>
      <c r="AZ41" s="48">
        <v>29013.02</v>
      </c>
      <c r="BA41" s="48">
        <v>12826.83</v>
      </c>
      <c r="BB41" s="48">
        <v>13280.1</v>
      </c>
      <c r="BC41" s="48">
        <v>2421.9899999999998</v>
      </c>
      <c r="BD41" s="48">
        <v>0</v>
      </c>
      <c r="BE41" s="48"/>
      <c r="BF41" s="48">
        <f t="shared" si="3"/>
        <v>589820.95999999985</v>
      </c>
      <c r="BG41" s="48"/>
      <c r="BH41" s="48"/>
      <c r="BI41" s="48" t="str">
        <f t="shared" si="16"/>
        <v>32360</v>
      </c>
      <c r="BJ41" s="48">
        <f t="shared" si="17"/>
        <v>589820.95999999985</v>
      </c>
      <c r="BK41" s="628">
        <f t="shared" si="18"/>
        <v>0</v>
      </c>
    </row>
    <row r="42" spans="1:63">
      <c r="A42" s="196">
        <v>35</v>
      </c>
      <c r="B42" s="73" t="s">
        <v>620</v>
      </c>
      <c r="C42" s="139" t="s">
        <v>621</v>
      </c>
      <c r="D42" s="168">
        <v>3122.16</v>
      </c>
      <c r="E42" s="170">
        <v>42800.87</v>
      </c>
      <c r="F42" s="171">
        <f t="shared" si="19"/>
        <v>45923.03</v>
      </c>
      <c r="G42" s="181">
        <v>36063.54</v>
      </c>
      <c r="H42" s="178">
        <v>9859.489999999998</v>
      </c>
      <c r="I42" s="170">
        <v>53065.72</v>
      </c>
      <c r="J42" s="171">
        <f t="shared" si="20"/>
        <v>62925.21</v>
      </c>
      <c r="K42" s="202">
        <v>44234.909999999996</v>
      </c>
      <c r="L42" s="171">
        <v>18690.300000000003</v>
      </c>
      <c r="M42" s="197">
        <v>60902</v>
      </c>
      <c r="N42" s="171">
        <f t="shared" si="21"/>
        <v>79592.3</v>
      </c>
      <c r="O42" s="202">
        <v>56113.75</v>
      </c>
      <c r="P42" s="238">
        <v>23478.550000000003</v>
      </c>
      <c r="Q42" s="197">
        <v>68662.820000000007</v>
      </c>
      <c r="R42" s="171">
        <f t="shared" si="22"/>
        <v>92141.37000000001</v>
      </c>
      <c r="S42" s="202">
        <v>92141.37</v>
      </c>
      <c r="T42" s="238">
        <v>1.4551915228366852E-11</v>
      </c>
      <c r="U42" s="238">
        <v>74077.37</v>
      </c>
      <c r="V42" s="171">
        <f t="shared" si="23"/>
        <v>74077.37000000001</v>
      </c>
      <c r="W42" s="56">
        <v>72224.23</v>
      </c>
      <c r="X42" s="568">
        <f t="shared" si="9"/>
        <v>1853.140000000014</v>
      </c>
      <c r="Y42" s="569">
        <v>75059.409999999989</v>
      </c>
      <c r="Z42" s="171">
        <f t="shared" si="24"/>
        <v>76912.55</v>
      </c>
      <c r="AA42" s="48">
        <v>79830.409999999974</v>
      </c>
      <c r="AB42" s="238">
        <f t="shared" si="11"/>
        <v>0</v>
      </c>
      <c r="AC42" s="238">
        <v>73030.090000000011</v>
      </c>
      <c r="AD42" s="171">
        <f t="shared" si="25"/>
        <v>73030.090000000011</v>
      </c>
      <c r="AE42" s="238"/>
      <c r="AF42" s="238">
        <f t="shared" si="13"/>
        <v>0</v>
      </c>
      <c r="AG42" s="196">
        <v>35</v>
      </c>
      <c r="AH42" s="73" t="s">
        <v>620</v>
      </c>
      <c r="AI42" s="139" t="s">
        <v>621</v>
      </c>
      <c r="AJ42" s="238">
        <f t="shared" si="14"/>
        <v>0</v>
      </c>
      <c r="AK42" s="238"/>
      <c r="AL42" s="358" t="s">
        <v>620</v>
      </c>
      <c r="AM42" s="48">
        <v>79830.409999999974</v>
      </c>
      <c r="AN42" s="238" t="s">
        <v>620</v>
      </c>
      <c r="AO42" s="238">
        <v>73030.090000000011</v>
      </c>
      <c r="AQ42" s="472">
        <f t="shared" si="15"/>
        <v>0</v>
      </c>
      <c r="AS42" t="s">
        <v>620</v>
      </c>
      <c r="AT42" t="s">
        <v>1893</v>
      </c>
      <c r="AU42" s="48">
        <v>45533.74</v>
      </c>
      <c r="AV42" s="48">
        <v>2960.04</v>
      </c>
      <c r="AW42" s="48">
        <v>880.3</v>
      </c>
      <c r="AX42" s="48">
        <v>0</v>
      </c>
      <c r="AY42" s="48">
        <v>13450.04</v>
      </c>
      <c r="AZ42" s="48">
        <v>4520.2299999999996</v>
      </c>
      <c r="BA42" s="48">
        <v>3553.59</v>
      </c>
      <c r="BB42" s="48">
        <v>63.21</v>
      </c>
      <c r="BC42" s="48">
        <v>320.67</v>
      </c>
      <c r="BD42" s="48">
        <v>1748.27</v>
      </c>
      <c r="BE42" s="48"/>
      <c r="BF42" s="48">
        <f t="shared" si="3"/>
        <v>73030.090000000011</v>
      </c>
      <c r="BG42" s="48"/>
      <c r="BH42" s="48"/>
      <c r="BI42" s="48" t="str">
        <f t="shared" si="16"/>
        <v>33036</v>
      </c>
      <c r="BJ42" s="48">
        <f t="shared" si="17"/>
        <v>73030.090000000011</v>
      </c>
      <c r="BK42" s="628">
        <f t="shared" si="18"/>
        <v>0</v>
      </c>
    </row>
    <row r="43" spans="1:63">
      <c r="A43" s="196">
        <v>36</v>
      </c>
      <c r="B43" s="172" t="s">
        <v>1508</v>
      </c>
      <c r="C43" s="286" t="s">
        <v>1548</v>
      </c>
      <c r="D43" s="168">
        <v>17014.509999999998</v>
      </c>
      <c r="E43" s="170">
        <v>30316.399999999998</v>
      </c>
      <c r="F43" s="171">
        <f t="shared" si="19"/>
        <v>47330.909999999996</v>
      </c>
      <c r="G43" s="181"/>
      <c r="H43" s="178">
        <v>47330.909999999996</v>
      </c>
      <c r="I43" s="170">
        <v>47271.619999999995</v>
      </c>
      <c r="J43" s="171">
        <f t="shared" si="20"/>
        <v>94602.53</v>
      </c>
      <c r="K43" s="202"/>
      <c r="L43" s="171">
        <v>94602.53</v>
      </c>
      <c r="M43" s="197">
        <v>54922.07</v>
      </c>
      <c r="N43" s="171">
        <f t="shared" si="21"/>
        <v>149524.6</v>
      </c>
      <c r="O43" s="202">
        <v>55838.080000000002</v>
      </c>
      <c r="P43" s="238">
        <v>93686.52</v>
      </c>
      <c r="Q43" s="197">
        <v>71059.069999999992</v>
      </c>
      <c r="R43" s="171">
        <f t="shared" si="22"/>
        <v>164745.59</v>
      </c>
      <c r="S43" s="202">
        <v>191466.22000000003</v>
      </c>
      <c r="T43" s="238">
        <v>0</v>
      </c>
      <c r="U43" s="238">
        <v>79501.429999999993</v>
      </c>
      <c r="V43" s="171">
        <f t="shared" si="23"/>
        <v>79501.429999999993</v>
      </c>
      <c r="W43" s="56"/>
      <c r="X43" s="568">
        <f t="shared" si="9"/>
        <v>79501.429999999993</v>
      </c>
      <c r="Y43" s="569">
        <v>81219.460000000006</v>
      </c>
      <c r="Z43" s="171">
        <f t="shared" si="24"/>
        <v>160720.89000000001</v>
      </c>
      <c r="AA43" s="48">
        <v>149808.19999999998</v>
      </c>
      <c r="AB43" s="238">
        <f t="shared" si="11"/>
        <v>10912.690000000031</v>
      </c>
      <c r="AC43" s="238">
        <v>93374.02</v>
      </c>
      <c r="AD43" s="171">
        <f t="shared" si="25"/>
        <v>104286.71000000004</v>
      </c>
      <c r="AE43" s="238"/>
      <c r="AF43" s="238">
        <f t="shared" si="13"/>
        <v>0</v>
      </c>
      <c r="AG43" s="196">
        <v>36</v>
      </c>
      <c r="AH43" s="172" t="s">
        <v>1508</v>
      </c>
      <c r="AI43" s="286" t="s">
        <v>1548</v>
      </c>
      <c r="AJ43" s="238">
        <f t="shared" si="14"/>
        <v>0</v>
      </c>
      <c r="AK43" s="238"/>
      <c r="AL43" s="358" t="s">
        <v>1508</v>
      </c>
      <c r="AM43" s="48">
        <v>149808.19999999998</v>
      </c>
      <c r="AN43" s="238" t="s">
        <v>1508</v>
      </c>
      <c r="AO43" s="238">
        <v>93374.02</v>
      </c>
      <c r="AQ43" s="472">
        <f t="shared" si="15"/>
        <v>0</v>
      </c>
      <c r="AS43" t="s">
        <v>1508</v>
      </c>
      <c r="AT43" t="s">
        <v>1849</v>
      </c>
      <c r="AU43" s="48">
        <v>62053.78</v>
      </c>
      <c r="AV43" s="48">
        <v>4437.59</v>
      </c>
      <c r="AW43" s="48">
        <v>787.38</v>
      </c>
      <c r="AX43" s="48">
        <v>0</v>
      </c>
      <c r="AY43" s="48">
        <v>16548.400000000001</v>
      </c>
      <c r="AZ43" s="48">
        <v>4430.6899999999996</v>
      </c>
      <c r="BA43" s="48">
        <v>3259.99</v>
      </c>
      <c r="BB43" s="48">
        <v>0</v>
      </c>
      <c r="BC43" s="48">
        <v>0</v>
      </c>
      <c r="BD43" s="48">
        <v>1856.19</v>
      </c>
      <c r="BE43" s="48"/>
      <c r="BF43" s="48">
        <f t="shared" si="3"/>
        <v>93374.02</v>
      </c>
      <c r="BG43" s="48"/>
      <c r="BH43" s="48"/>
      <c r="BI43" s="48" t="str">
        <f t="shared" si="16"/>
        <v>27901</v>
      </c>
      <c r="BJ43" s="48">
        <f t="shared" si="17"/>
        <v>93374.02</v>
      </c>
      <c r="BK43" s="628">
        <f t="shared" si="18"/>
        <v>0</v>
      </c>
    </row>
    <row r="44" spans="1:63">
      <c r="A44" s="196">
        <v>37</v>
      </c>
      <c r="B44" s="73" t="s">
        <v>334</v>
      </c>
      <c r="C44" s="139" t="s">
        <v>335</v>
      </c>
      <c r="D44" s="168">
        <v>27286.76</v>
      </c>
      <c r="E44" s="170">
        <v>56431.49</v>
      </c>
      <c r="F44" s="171">
        <f t="shared" si="19"/>
        <v>83718.25</v>
      </c>
      <c r="G44" s="181">
        <v>47281.52</v>
      </c>
      <c r="H44" s="178">
        <v>36436.730000000003</v>
      </c>
      <c r="I44" s="170">
        <v>72315.839999999997</v>
      </c>
      <c r="J44" s="171">
        <f t="shared" si="20"/>
        <v>108752.57</v>
      </c>
      <c r="K44" s="202">
        <v>65308.520000000004</v>
      </c>
      <c r="L44" s="171">
        <v>43444.05</v>
      </c>
      <c r="M44" s="197">
        <v>68586.459999999992</v>
      </c>
      <c r="N44" s="171">
        <f t="shared" si="21"/>
        <v>112030.51</v>
      </c>
      <c r="O44" s="202">
        <v>60777.44000000001</v>
      </c>
      <c r="P44" s="238">
        <v>51253.069999999985</v>
      </c>
      <c r="Q44" s="197">
        <v>80244.7</v>
      </c>
      <c r="R44" s="171">
        <f t="shared" si="22"/>
        <v>131497.76999999999</v>
      </c>
      <c r="S44" s="202">
        <v>63417.87999999999</v>
      </c>
      <c r="T44" s="238">
        <v>68079.89</v>
      </c>
      <c r="U44" s="238">
        <v>80761.119999999995</v>
      </c>
      <c r="V44" s="171">
        <f t="shared" si="23"/>
        <v>148841.01</v>
      </c>
      <c r="W44" s="56">
        <v>78217.969999999987</v>
      </c>
      <c r="X44" s="568">
        <f t="shared" si="9"/>
        <v>70623.040000000023</v>
      </c>
      <c r="Y44" s="569">
        <v>86877.31</v>
      </c>
      <c r="Z44" s="171">
        <f t="shared" si="24"/>
        <v>157500.35000000003</v>
      </c>
      <c r="AA44" s="48">
        <v>82216.42</v>
      </c>
      <c r="AB44" s="238">
        <f t="shared" si="11"/>
        <v>75283.930000000037</v>
      </c>
      <c r="AC44" s="238">
        <v>79197.509999999995</v>
      </c>
      <c r="AD44" s="171">
        <f t="shared" si="25"/>
        <v>154481.44000000003</v>
      </c>
      <c r="AE44" s="238"/>
      <c r="AF44" s="238">
        <f t="shared" si="13"/>
        <v>0</v>
      </c>
      <c r="AG44" s="196">
        <v>37</v>
      </c>
      <c r="AH44" s="73" t="s">
        <v>334</v>
      </c>
      <c r="AI44" s="139" t="s">
        <v>335</v>
      </c>
      <c r="AJ44" s="238">
        <f t="shared" si="14"/>
        <v>0</v>
      </c>
      <c r="AK44" s="238"/>
      <c r="AL44" s="358" t="s">
        <v>334</v>
      </c>
      <c r="AM44" s="48">
        <v>82216.42</v>
      </c>
      <c r="AN44" s="238" t="s">
        <v>334</v>
      </c>
      <c r="AO44" s="238">
        <v>79197.509999999995</v>
      </c>
      <c r="AQ44" s="472">
        <f t="shared" si="15"/>
        <v>0</v>
      </c>
      <c r="AS44" t="s">
        <v>334</v>
      </c>
      <c r="AT44" t="s">
        <v>1747</v>
      </c>
      <c r="AU44" s="48">
        <v>55416.38</v>
      </c>
      <c r="AV44" s="48">
        <v>5711.89</v>
      </c>
      <c r="AW44" s="48">
        <v>756.29</v>
      </c>
      <c r="AX44" s="48">
        <v>0</v>
      </c>
      <c r="AY44" s="48">
        <v>6338.11</v>
      </c>
      <c r="AZ44" s="48">
        <v>4023.19</v>
      </c>
      <c r="BA44" s="48">
        <v>3422.29</v>
      </c>
      <c r="BB44" s="48">
        <v>0</v>
      </c>
      <c r="BC44" s="48">
        <v>324.62</v>
      </c>
      <c r="BD44" s="48">
        <v>3204.74</v>
      </c>
      <c r="BE44" s="48"/>
      <c r="BF44" s="48">
        <f t="shared" si="3"/>
        <v>79197.509999999995</v>
      </c>
      <c r="BG44" s="48"/>
      <c r="BH44" s="48"/>
      <c r="BI44" s="48" t="str">
        <f t="shared" si="16"/>
        <v>16049</v>
      </c>
      <c r="BJ44" s="48">
        <f t="shared" si="17"/>
        <v>79197.509999999995</v>
      </c>
      <c r="BK44" s="628">
        <f t="shared" si="18"/>
        <v>0</v>
      </c>
    </row>
    <row r="45" spans="1:63">
      <c r="A45" s="196">
        <v>38</v>
      </c>
      <c r="B45" s="73" t="s">
        <v>173</v>
      </c>
      <c r="C45" s="139" t="s">
        <v>174</v>
      </c>
      <c r="D45" s="168">
        <v>0</v>
      </c>
      <c r="E45" s="170">
        <v>157801.41</v>
      </c>
      <c r="F45" s="171">
        <f t="shared" si="19"/>
        <v>157801.41</v>
      </c>
      <c r="G45" s="181">
        <v>175036.57</v>
      </c>
      <c r="H45" s="178">
        <v>0</v>
      </c>
      <c r="I45" s="170">
        <v>222572.66999999998</v>
      </c>
      <c r="J45" s="171">
        <f t="shared" si="20"/>
        <v>222572.66999999998</v>
      </c>
      <c r="K45" s="202">
        <v>228187.86000000002</v>
      </c>
      <c r="L45" s="171">
        <v>0</v>
      </c>
      <c r="M45" s="197">
        <v>214171.53999999998</v>
      </c>
      <c r="N45" s="171">
        <f t="shared" si="21"/>
        <v>214171.53999999998</v>
      </c>
      <c r="O45" s="202">
        <v>218115.49</v>
      </c>
      <c r="P45" s="238">
        <v>0</v>
      </c>
      <c r="Q45" s="197">
        <v>239310.15000000002</v>
      </c>
      <c r="R45" s="171">
        <f t="shared" si="22"/>
        <v>239310.15000000002</v>
      </c>
      <c r="S45" s="202">
        <v>260073.85</v>
      </c>
      <c r="T45" s="238">
        <v>0</v>
      </c>
      <c r="U45" s="238">
        <v>237804.24</v>
      </c>
      <c r="V45" s="171">
        <f t="shared" si="23"/>
        <v>237804.24</v>
      </c>
      <c r="W45" s="56">
        <v>205642.78000000009</v>
      </c>
      <c r="X45" s="568">
        <f t="shared" si="9"/>
        <v>32161.459999999905</v>
      </c>
      <c r="Y45" s="569">
        <v>254598.63999999998</v>
      </c>
      <c r="Z45" s="171">
        <f t="shared" si="24"/>
        <v>286760.09999999986</v>
      </c>
      <c r="AA45" s="48">
        <v>218151.89999999991</v>
      </c>
      <c r="AB45" s="238">
        <f t="shared" si="11"/>
        <v>68608.199999999953</v>
      </c>
      <c r="AC45" s="238">
        <v>263176.94</v>
      </c>
      <c r="AD45" s="171">
        <f t="shared" si="25"/>
        <v>331785.13999999996</v>
      </c>
      <c r="AE45" s="238"/>
      <c r="AF45" s="238">
        <f t="shared" si="13"/>
        <v>0</v>
      </c>
      <c r="AG45" s="196">
        <v>38</v>
      </c>
      <c r="AH45" s="73" t="s">
        <v>173</v>
      </c>
      <c r="AI45" s="139" t="s">
        <v>174</v>
      </c>
      <c r="AJ45" s="238">
        <f t="shared" si="14"/>
        <v>0</v>
      </c>
      <c r="AK45" s="238"/>
      <c r="AL45" s="358" t="s">
        <v>173</v>
      </c>
      <c r="AM45" s="48">
        <v>218151.89999999991</v>
      </c>
      <c r="AN45" s="238" t="s">
        <v>173</v>
      </c>
      <c r="AO45" s="238">
        <v>263176.94</v>
      </c>
      <c r="AQ45" s="472">
        <f t="shared" si="15"/>
        <v>0</v>
      </c>
      <c r="AS45" t="s">
        <v>173</v>
      </c>
      <c r="AT45" t="s">
        <v>1664</v>
      </c>
      <c r="AU45" s="48">
        <v>173510.74</v>
      </c>
      <c r="AV45" s="48">
        <v>11163.36</v>
      </c>
      <c r="AW45" s="48">
        <v>581.22</v>
      </c>
      <c r="AX45" s="48">
        <v>0</v>
      </c>
      <c r="AY45" s="48">
        <v>51375.28</v>
      </c>
      <c r="AZ45" s="48">
        <v>13110.51</v>
      </c>
      <c r="BA45" s="48">
        <v>5778.25</v>
      </c>
      <c r="BB45" s="48">
        <v>561.17999999999995</v>
      </c>
      <c r="BC45" s="48">
        <v>1046.81</v>
      </c>
      <c r="BD45" s="48">
        <v>6049.59</v>
      </c>
      <c r="BE45" s="48"/>
      <c r="BF45" s="48">
        <f t="shared" si="3"/>
        <v>263176.94</v>
      </c>
      <c r="BG45" s="48"/>
      <c r="BH45" s="48"/>
      <c r="BI45" s="48" t="str">
        <f t="shared" si="16"/>
        <v>02250</v>
      </c>
      <c r="BJ45" s="48">
        <f t="shared" si="17"/>
        <v>263176.94</v>
      </c>
      <c r="BK45" s="628">
        <f t="shared" si="18"/>
        <v>0</v>
      </c>
    </row>
    <row r="46" spans="1:63">
      <c r="A46" s="196">
        <v>39</v>
      </c>
      <c r="B46" s="73" t="s">
        <v>394</v>
      </c>
      <c r="C46" s="139" t="s">
        <v>395</v>
      </c>
      <c r="D46" s="168">
        <v>4361.7200000000012</v>
      </c>
      <c r="E46" s="170">
        <v>53411.73</v>
      </c>
      <c r="F46" s="171">
        <f t="shared" si="19"/>
        <v>57773.450000000004</v>
      </c>
      <c r="G46" s="181">
        <v>50143.81</v>
      </c>
      <c r="H46" s="178">
        <v>7629.6400000000067</v>
      </c>
      <c r="I46" s="170">
        <v>75910.25</v>
      </c>
      <c r="J46" s="171">
        <f t="shared" si="20"/>
        <v>83539.890000000014</v>
      </c>
      <c r="K46" s="202">
        <v>83129.38</v>
      </c>
      <c r="L46" s="171">
        <v>410.51000000000931</v>
      </c>
      <c r="M46" s="197">
        <v>78316.400000000009</v>
      </c>
      <c r="N46" s="171">
        <f t="shared" si="21"/>
        <v>78726.910000000018</v>
      </c>
      <c r="O46" s="202">
        <v>100066.54000000001</v>
      </c>
      <c r="P46" s="238">
        <v>0</v>
      </c>
      <c r="Q46" s="197">
        <v>88998.93</v>
      </c>
      <c r="R46" s="171">
        <f t="shared" si="22"/>
        <v>88998.93</v>
      </c>
      <c r="S46" s="202">
        <v>115988.79999999999</v>
      </c>
      <c r="T46" s="238">
        <v>0</v>
      </c>
      <c r="U46" s="238">
        <v>93128.94</v>
      </c>
      <c r="V46" s="171">
        <f t="shared" si="23"/>
        <v>93128.94</v>
      </c>
      <c r="W46" s="56">
        <v>96150.199999999983</v>
      </c>
      <c r="X46" s="568">
        <f t="shared" si="9"/>
        <v>0</v>
      </c>
      <c r="Y46" s="569">
        <v>110135.81000000001</v>
      </c>
      <c r="Z46" s="171">
        <f t="shared" si="24"/>
        <v>110135.81000000001</v>
      </c>
      <c r="AA46" s="48">
        <v>151188.34000000005</v>
      </c>
      <c r="AB46" s="238">
        <f t="shared" si="11"/>
        <v>0</v>
      </c>
      <c r="AC46" s="238">
        <v>112765.19000000002</v>
      </c>
      <c r="AD46" s="171">
        <f t="shared" si="25"/>
        <v>112765.19000000002</v>
      </c>
      <c r="AE46" s="238"/>
      <c r="AF46" s="238">
        <f t="shared" si="13"/>
        <v>0</v>
      </c>
      <c r="AG46" s="196">
        <v>39</v>
      </c>
      <c r="AH46" s="73" t="s">
        <v>394</v>
      </c>
      <c r="AI46" s="139" t="s">
        <v>395</v>
      </c>
      <c r="AJ46" s="238">
        <f t="shared" si="14"/>
        <v>0</v>
      </c>
      <c r="AK46" s="238"/>
      <c r="AL46" s="358" t="s">
        <v>394</v>
      </c>
      <c r="AM46" s="48">
        <v>151188.34000000005</v>
      </c>
      <c r="AN46" s="238" t="s">
        <v>394</v>
      </c>
      <c r="AO46" s="238">
        <v>112765.19000000002</v>
      </c>
      <c r="AQ46" s="472">
        <f t="shared" si="15"/>
        <v>0</v>
      </c>
      <c r="AS46" t="s">
        <v>394</v>
      </c>
      <c r="AT46" t="s">
        <v>1780</v>
      </c>
      <c r="AU46" s="48">
        <v>76138.48</v>
      </c>
      <c r="AV46" s="48">
        <v>8386.66</v>
      </c>
      <c r="AW46" s="48">
        <v>601.38</v>
      </c>
      <c r="AX46" s="48">
        <v>0</v>
      </c>
      <c r="AY46" s="48">
        <v>16789.3</v>
      </c>
      <c r="AZ46" s="48">
        <v>4265.2299999999996</v>
      </c>
      <c r="BA46" s="48">
        <v>0</v>
      </c>
      <c r="BB46" s="48">
        <v>563.79999999999995</v>
      </c>
      <c r="BC46" s="48">
        <v>436.32</v>
      </c>
      <c r="BD46" s="48">
        <v>5584.02</v>
      </c>
      <c r="BE46" s="48"/>
      <c r="BF46" s="48">
        <f t="shared" si="3"/>
        <v>112765.19000000002</v>
      </c>
      <c r="BG46" s="48"/>
      <c r="BH46" s="48"/>
      <c r="BI46" s="48" t="str">
        <f t="shared" si="16"/>
        <v>19404</v>
      </c>
      <c r="BJ46" s="48">
        <f t="shared" si="17"/>
        <v>112765.19000000002</v>
      </c>
      <c r="BK46" s="628">
        <f t="shared" si="18"/>
        <v>0</v>
      </c>
    </row>
    <row r="47" spans="1:63">
      <c r="A47" s="196">
        <v>40</v>
      </c>
      <c r="B47" s="73" t="s">
        <v>521</v>
      </c>
      <c r="C47" s="139" t="s">
        <v>522</v>
      </c>
      <c r="D47" s="168">
        <v>0</v>
      </c>
      <c r="E47" s="170">
        <v>891396.82</v>
      </c>
      <c r="F47" s="171">
        <f t="shared" si="19"/>
        <v>891396.82</v>
      </c>
      <c r="G47" s="181">
        <v>832821.71</v>
      </c>
      <c r="H47" s="178">
        <v>58575.109999999986</v>
      </c>
      <c r="I47" s="170">
        <v>1242519.06</v>
      </c>
      <c r="J47" s="171">
        <f t="shared" si="20"/>
        <v>1301094.17</v>
      </c>
      <c r="K47" s="202">
        <v>1148137.96</v>
      </c>
      <c r="L47" s="171">
        <v>152956.20999999996</v>
      </c>
      <c r="M47" s="197">
        <v>1212526.2400000002</v>
      </c>
      <c r="N47" s="171">
        <f t="shared" si="21"/>
        <v>1365482.4500000002</v>
      </c>
      <c r="O47" s="202">
        <v>1206593.4100000001</v>
      </c>
      <c r="P47" s="238">
        <v>158889.04000000004</v>
      </c>
      <c r="Q47" s="197">
        <v>1341661.8700000001</v>
      </c>
      <c r="R47" s="171">
        <f t="shared" si="22"/>
        <v>1500550.9100000001</v>
      </c>
      <c r="S47" s="202">
        <v>1351240.7200000002</v>
      </c>
      <c r="T47" s="238">
        <v>149310.18999999994</v>
      </c>
      <c r="U47" s="238">
        <v>1377922.81</v>
      </c>
      <c r="V47" s="171">
        <f t="shared" si="23"/>
        <v>1527233</v>
      </c>
      <c r="W47" s="56">
        <v>1391475.1299999992</v>
      </c>
      <c r="X47" s="568">
        <f t="shared" si="9"/>
        <v>135757.87000000081</v>
      </c>
      <c r="Y47" s="569">
        <v>1485233.05</v>
      </c>
      <c r="Z47" s="171">
        <f t="shared" si="24"/>
        <v>1620990.9200000009</v>
      </c>
      <c r="AA47" s="48">
        <v>1501029.3199999996</v>
      </c>
      <c r="AB47" s="238">
        <f t="shared" si="11"/>
        <v>119961.60000000126</v>
      </c>
      <c r="AC47" s="238">
        <v>1482602.21</v>
      </c>
      <c r="AD47" s="171">
        <f t="shared" si="25"/>
        <v>1602563.8100000012</v>
      </c>
      <c r="AE47" s="238"/>
      <c r="AF47" s="238">
        <f t="shared" si="13"/>
        <v>0</v>
      </c>
      <c r="AG47" s="196">
        <v>40</v>
      </c>
      <c r="AH47" s="73" t="s">
        <v>521</v>
      </c>
      <c r="AI47" s="139" t="s">
        <v>522</v>
      </c>
      <c r="AJ47" s="238">
        <f t="shared" si="14"/>
        <v>0</v>
      </c>
      <c r="AK47" s="238"/>
      <c r="AL47" s="358" t="s">
        <v>521</v>
      </c>
      <c r="AM47" s="48">
        <v>1501029.3199999996</v>
      </c>
      <c r="AN47" s="238" t="s">
        <v>521</v>
      </c>
      <c r="AO47" s="238">
        <v>1482602.21</v>
      </c>
      <c r="AQ47" s="472">
        <f t="shared" si="15"/>
        <v>0</v>
      </c>
      <c r="AS47" t="s">
        <v>521</v>
      </c>
      <c r="AT47" t="s">
        <v>1842</v>
      </c>
      <c r="AU47" s="48">
        <v>981446.26</v>
      </c>
      <c r="AV47" s="48">
        <v>55550.97</v>
      </c>
      <c r="AW47" s="48">
        <v>34419.279999999999</v>
      </c>
      <c r="AX47" s="48">
        <v>0</v>
      </c>
      <c r="AY47" s="48">
        <v>220439.94</v>
      </c>
      <c r="AZ47" s="48">
        <v>84178.69</v>
      </c>
      <c r="BA47" s="48">
        <v>46804.79</v>
      </c>
      <c r="BB47" s="48">
        <v>54202.77</v>
      </c>
      <c r="BC47" s="48">
        <v>5559.51</v>
      </c>
      <c r="BD47" s="48">
        <v>0</v>
      </c>
      <c r="BE47" s="48"/>
      <c r="BF47" s="48">
        <f t="shared" si="3"/>
        <v>1482602.21</v>
      </c>
      <c r="BG47" s="48"/>
      <c r="BH47" s="48"/>
      <c r="BI47" s="48" t="str">
        <f t="shared" si="16"/>
        <v>27400</v>
      </c>
      <c r="BJ47" s="48">
        <f t="shared" si="17"/>
        <v>1482602.21</v>
      </c>
      <c r="BK47" s="628">
        <f t="shared" si="18"/>
        <v>0</v>
      </c>
    </row>
    <row r="48" spans="1:63">
      <c r="A48" s="196">
        <v>41</v>
      </c>
      <c r="B48" s="73" t="s">
        <v>693</v>
      </c>
      <c r="C48" s="139" t="s">
        <v>694</v>
      </c>
      <c r="D48" s="168">
        <v>4751.7000000000044</v>
      </c>
      <c r="E48" s="170">
        <v>35094.47</v>
      </c>
      <c r="F48" s="171">
        <f t="shared" si="19"/>
        <v>39846.170000000006</v>
      </c>
      <c r="G48" s="181">
        <v>28194.46</v>
      </c>
      <c r="H48" s="178">
        <v>11651.710000000006</v>
      </c>
      <c r="I48" s="170">
        <v>50951.29</v>
      </c>
      <c r="J48" s="171">
        <f t="shared" si="20"/>
        <v>62603.000000000007</v>
      </c>
      <c r="K48" s="202">
        <v>44570.450000000004</v>
      </c>
      <c r="L48" s="171">
        <v>18032.550000000003</v>
      </c>
      <c r="M48" s="197">
        <v>50527.44</v>
      </c>
      <c r="N48" s="171">
        <f t="shared" si="21"/>
        <v>68559.990000000005</v>
      </c>
      <c r="O48" s="202">
        <v>39006.049999999996</v>
      </c>
      <c r="P48" s="238">
        <v>29553.94000000001</v>
      </c>
      <c r="Q48" s="197">
        <v>58456.249999999993</v>
      </c>
      <c r="R48" s="171">
        <f t="shared" si="22"/>
        <v>88010.19</v>
      </c>
      <c r="S48" s="202">
        <v>45593.3</v>
      </c>
      <c r="T48" s="238">
        <v>42416.89</v>
      </c>
      <c r="U48" s="238">
        <v>57217.33</v>
      </c>
      <c r="V48" s="171">
        <f t="shared" si="23"/>
        <v>99634.22</v>
      </c>
      <c r="W48" s="56">
        <v>53741.5</v>
      </c>
      <c r="X48" s="568">
        <f t="shared" si="9"/>
        <v>45892.72</v>
      </c>
      <c r="Y48" s="569">
        <v>62788.249999999993</v>
      </c>
      <c r="Z48" s="171">
        <f t="shared" si="24"/>
        <v>108680.97</v>
      </c>
      <c r="AA48" s="48">
        <v>53841.820000000007</v>
      </c>
      <c r="AB48" s="238">
        <f t="shared" si="11"/>
        <v>54839.149999999994</v>
      </c>
      <c r="AC48" s="238">
        <v>63163.02</v>
      </c>
      <c r="AD48" s="171">
        <f t="shared" si="25"/>
        <v>118002.16999999998</v>
      </c>
      <c r="AE48" s="238"/>
      <c r="AF48" s="238">
        <f t="shared" si="13"/>
        <v>0</v>
      </c>
      <c r="AG48" s="196">
        <v>41</v>
      </c>
      <c r="AH48" s="73" t="s">
        <v>693</v>
      </c>
      <c r="AI48" s="139" t="s">
        <v>694</v>
      </c>
      <c r="AJ48" s="238">
        <f t="shared" si="14"/>
        <v>0</v>
      </c>
      <c r="AK48" s="238"/>
      <c r="AL48" s="358" t="s">
        <v>693</v>
      </c>
      <c r="AM48" s="48">
        <v>53841.820000000007</v>
      </c>
      <c r="AN48" s="238" t="s">
        <v>693</v>
      </c>
      <c r="AO48" s="238">
        <v>63163.02</v>
      </c>
      <c r="AQ48" s="472">
        <f t="shared" si="15"/>
        <v>0</v>
      </c>
      <c r="AS48" t="s">
        <v>693</v>
      </c>
      <c r="AT48" t="s">
        <v>1933</v>
      </c>
      <c r="AU48" s="48">
        <v>46069.19</v>
      </c>
      <c r="AV48" s="48">
        <v>3961.89</v>
      </c>
      <c r="AW48" s="48">
        <v>822.52</v>
      </c>
      <c r="AX48" s="48">
        <v>0</v>
      </c>
      <c r="AY48" s="48">
        <v>7962.71</v>
      </c>
      <c r="AZ48" s="48">
        <v>1778.13</v>
      </c>
      <c r="BA48" s="48">
        <v>0</v>
      </c>
      <c r="BB48" s="48">
        <v>0</v>
      </c>
      <c r="BC48" s="48">
        <v>237.3</v>
      </c>
      <c r="BD48" s="48">
        <v>2331.2800000000002</v>
      </c>
      <c r="BE48" s="48"/>
      <c r="BF48" s="48">
        <f t="shared" si="3"/>
        <v>63163.02</v>
      </c>
      <c r="BG48" s="48"/>
      <c r="BH48" s="48"/>
      <c r="BI48" s="48" t="str">
        <f t="shared" si="16"/>
        <v>38300</v>
      </c>
      <c r="BJ48" s="48">
        <f t="shared" si="17"/>
        <v>63163.02</v>
      </c>
      <c r="BK48" s="628">
        <f t="shared" si="18"/>
        <v>0</v>
      </c>
    </row>
    <row r="49" spans="1:63">
      <c r="A49" s="196">
        <v>42</v>
      </c>
      <c r="B49" s="73" t="s">
        <v>662</v>
      </c>
      <c r="C49" s="139" t="s">
        <v>663</v>
      </c>
      <c r="D49" s="168">
        <v>11897.199999999997</v>
      </c>
      <c r="E49" s="170">
        <v>102199.89</v>
      </c>
      <c r="F49" s="171">
        <f t="shared" si="19"/>
        <v>114097.09</v>
      </c>
      <c r="G49" s="181">
        <v>35828.61</v>
      </c>
      <c r="H49" s="178">
        <v>78268.479999999996</v>
      </c>
      <c r="I49" s="170">
        <v>153668.64000000001</v>
      </c>
      <c r="J49" s="171">
        <f t="shared" si="20"/>
        <v>231937.12</v>
      </c>
      <c r="K49" s="202">
        <v>183718.14000000004</v>
      </c>
      <c r="L49" s="171">
        <v>48218.979999999952</v>
      </c>
      <c r="M49" s="197">
        <v>152422.78999999998</v>
      </c>
      <c r="N49" s="171">
        <f t="shared" si="21"/>
        <v>200641.76999999993</v>
      </c>
      <c r="O49" s="202">
        <v>98883.98</v>
      </c>
      <c r="P49" s="238">
        <v>101757.78999999994</v>
      </c>
      <c r="Q49" s="197">
        <v>166190.19</v>
      </c>
      <c r="R49" s="171">
        <f t="shared" si="22"/>
        <v>267947.97999999992</v>
      </c>
      <c r="S49" s="202">
        <v>154949.21999999997</v>
      </c>
      <c r="T49" s="238">
        <v>112998.75999999995</v>
      </c>
      <c r="U49" s="238">
        <v>163628.17000000001</v>
      </c>
      <c r="V49" s="171">
        <f t="shared" si="23"/>
        <v>276626.92999999993</v>
      </c>
      <c r="W49" s="56">
        <v>175487.92000000004</v>
      </c>
      <c r="X49" s="568">
        <f t="shared" si="9"/>
        <v>101139.00999999989</v>
      </c>
      <c r="Y49" s="569">
        <v>172444.55</v>
      </c>
      <c r="Z49" s="171">
        <f t="shared" si="24"/>
        <v>273583.55999999988</v>
      </c>
      <c r="AA49" s="48">
        <v>317505.7099999999</v>
      </c>
      <c r="AB49" s="238">
        <f t="shared" si="11"/>
        <v>0</v>
      </c>
      <c r="AC49" s="238">
        <v>184145.46000000002</v>
      </c>
      <c r="AD49" s="171">
        <f t="shared" si="25"/>
        <v>184145.46000000002</v>
      </c>
      <c r="AE49" s="238"/>
      <c r="AF49" s="238">
        <f t="shared" si="13"/>
        <v>0</v>
      </c>
      <c r="AG49" s="196">
        <v>42</v>
      </c>
      <c r="AH49" s="73" t="s">
        <v>662</v>
      </c>
      <c r="AI49" s="139" t="s">
        <v>663</v>
      </c>
      <c r="AJ49" s="238">
        <f t="shared" si="14"/>
        <v>0</v>
      </c>
      <c r="AK49" s="238"/>
      <c r="AL49" s="358" t="s">
        <v>662</v>
      </c>
      <c r="AM49" s="48">
        <v>317505.7099999999</v>
      </c>
      <c r="AN49" s="238" t="s">
        <v>662</v>
      </c>
      <c r="AO49" s="238">
        <v>184145.46000000002</v>
      </c>
      <c r="AQ49" s="472">
        <f t="shared" si="15"/>
        <v>0</v>
      </c>
      <c r="AS49" t="s">
        <v>662</v>
      </c>
      <c r="AT49" t="s">
        <v>1916</v>
      </c>
      <c r="AU49" s="48">
        <v>115951.85</v>
      </c>
      <c r="AV49" s="48">
        <v>11701.41</v>
      </c>
      <c r="AW49" s="48">
        <v>1987.24</v>
      </c>
      <c r="AX49" s="48">
        <v>0</v>
      </c>
      <c r="AY49" s="48">
        <v>31425.9</v>
      </c>
      <c r="AZ49" s="48">
        <v>7919.64</v>
      </c>
      <c r="BA49" s="48">
        <v>6613.84</v>
      </c>
      <c r="BB49" s="48">
        <v>6165.21</v>
      </c>
      <c r="BC49" s="48">
        <v>675.26</v>
      </c>
      <c r="BD49" s="48">
        <v>1705.11</v>
      </c>
      <c r="BE49" s="48"/>
      <c r="BF49" s="48">
        <f t="shared" si="3"/>
        <v>184145.46000000002</v>
      </c>
      <c r="BG49" s="48"/>
      <c r="BH49" s="48"/>
      <c r="BI49" s="48" t="str">
        <f t="shared" si="16"/>
        <v>36250</v>
      </c>
      <c r="BJ49" s="48">
        <f t="shared" si="17"/>
        <v>184145.46000000002</v>
      </c>
      <c r="BK49" s="628">
        <f t="shared" si="18"/>
        <v>0</v>
      </c>
    </row>
    <row r="50" spans="1:63">
      <c r="A50" s="196">
        <v>43</v>
      </c>
      <c r="B50" s="73" t="s">
        <v>701</v>
      </c>
      <c r="C50" s="139" t="s">
        <v>702</v>
      </c>
      <c r="D50" s="168">
        <v>984.3700000000008</v>
      </c>
      <c r="E50" s="170">
        <v>17459</v>
      </c>
      <c r="F50" s="171">
        <f t="shared" si="19"/>
        <v>18443.370000000003</v>
      </c>
      <c r="G50" s="181">
        <v>15464.09</v>
      </c>
      <c r="H50" s="178">
        <v>2979.2800000000025</v>
      </c>
      <c r="I50" s="170">
        <v>25138.350000000002</v>
      </c>
      <c r="J50" s="171">
        <f t="shared" si="20"/>
        <v>28117.630000000005</v>
      </c>
      <c r="K50" s="202">
        <v>23217.45</v>
      </c>
      <c r="L50" s="171">
        <v>4900.1800000000039</v>
      </c>
      <c r="M50" s="197">
        <v>25897.57</v>
      </c>
      <c r="N50" s="171">
        <f t="shared" si="21"/>
        <v>30797.750000000004</v>
      </c>
      <c r="O50" s="202">
        <v>25286.639999999999</v>
      </c>
      <c r="P50" s="238">
        <v>5511.1100000000042</v>
      </c>
      <c r="Q50" s="197">
        <v>26364.93</v>
      </c>
      <c r="R50" s="171">
        <f t="shared" si="22"/>
        <v>31876.040000000005</v>
      </c>
      <c r="S50" s="202">
        <v>21383.279999999999</v>
      </c>
      <c r="T50" s="238">
        <v>10492.760000000006</v>
      </c>
      <c r="U50" s="238">
        <v>25360.639999999999</v>
      </c>
      <c r="V50" s="171">
        <f t="shared" si="23"/>
        <v>35853.400000000009</v>
      </c>
      <c r="W50" s="56">
        <v>21239.06</v>
      </c>
      <c r="X50" s="568">
        <f t="shared" si="9"/>
        <v>14614.340000000007</v>
      </c>
      <c r="Y50" s="569">
        <v>26497.59</v>
      </c>
      <c r="Z50" s="171">
        <f t="shared" si="24"/>
        <v>41111.930000000008</v>
      </c>
      <c r="AA50" s="48">
        <v>22358.74</v>
      </c>
      <c r="AB50" s="238">
        <f t="shared" si="11"/>
        <v>18753.190000000006</v>
      </c>
      <c r="AC50" s="238">
        <v>30520.989999999998</v>
      </c>
      <c r="AD50" s="171">
        <f t="shared" si="25"/>
        <v>49274.180000000008</v>
      </c>
      <c r="AE50" s="238"/>
      <c r="AF50" s="238">
        <f t="shared" si="13"/>
        <v>0</v>
      </c>
      <c r="AG50" s="196">
        <v>43</v>
      </c>
      <c r="AH50" s="73" t="s">
        <v>701</v>
      </c>
      <c r="AI50" s="139" t="s">
        <v>702</v>
      </c>
      <c r="AJ50" s="238">
        <f t="shared" si="14"/>
        <v>0</v>
      </c>
      <c r="AK50" s="238"/>
      <c r="AL50" s="358" t="s">
        <v>701</v>
      </c>
      <c r="AM50" s="48">
        <v>22358.74</v>
      </c>
      <c r="AN50" s="238" t="s">
        <v>701</v>
      </c>
      <c r="AO50" s="238">
        <v>30520.989999999998</v>
      </c>
      <c r="AQ50" s="472">
        <f t="shared" si="15"/>
        <v>0</v>
      </c>
      <c r="AS50" t="s">
        <v>701</v>
      </c>
      <c r="AT50" t="s">
        <v>1937</v>
      </c>
      <c r="AU50" s="48">
        <v>24380.25</v>
      </c>
      <c r="AV50" s="48">
        <v>505.67</v>
      </c>
      <c r="AW50" s="48">
        <v>201.96</v>
      </c>
      <c r="AX50" s="48">
        <v>0</v>
      </c>
      <c r="AY50" s="48">
        <v>3536.84</v>
      </c>
      <c r="AZ50" s="48">
        <v>470.21</v>
      </c>
      <c r="BA50" s="48">
        <v>0</v>
      </c>
      <c r="BB50" s="48">
        <v>0</v>
      </c>
      <c r="BC50" s="48">
        <v>0</v>
      </c>
      <c r="BD50" s="48">
        <v>1426.06</v>
      </c>
      <c r="BE50" s="48"/>
      <c r="BF50" s="48">
        <f t="shared" si="3"/>
        <v>30520.989999999998</v>
      </c>
      <c r="BG50" s="48"/>
      <c r="BH50" s="48"/>
      <c r="BI50" s="48" t="str">
        <f t="shared" si="16"/>
        <v>38306</v>
      </c>
      <c r="BJ50" s="48">
        <f t="shared" si="17"/>
        <v>30520.989999999998</v>
      </c>
      <c r="BK50" s="628">
        <f t="shared" si="18"/>
        <v>0</v>
      </c>
    </row>
    <row r="51" spans="1:63">
      <c r="A51" s="196">
        <v>44</v>
      </c>
      <c r="B51" s="73" t="s">
        <v>633</v>
      </c>
      <c r="C51" s="139" t="s">
        <v>805</v>
      </c>
      <c r="D51" s="168">
        <v>0</v>
      </c>
      <c r="E51" s="170">
        <v>13367.109999999999</v>
      </c>
      <c r="F51" s="171">
        <f t="shared" si="19"/>
        <v>13367.109999999999</v>
      </c>
      <c r="G51" s="181">
        <v>11624.79</v>
      </c>
      <c r="H51" s="178">
        <v>1742.3199999999979</v>
      </c>
      <c r="I51" s="170">
        <v>20196.390000000003</v>
      </c>
      <c r="J51" s="171">
        <f t="shared" si="20"/>
        <v>21938.71</v>
      </c>
      <c r="K51" s="202">
        <v>17920.849999999999</v>
      </c>
      <c r="L51" s="171">
        <v>4017.8600000000006</v>
      </c>
      <c r="M51" s="197">
        <v>20660.95</v>
      </c>
      <c r="N51" s="171">
        <f t="shared" si="21"/>
        <v>24678.81</v>
      </c>
      <c r="O51" s="202">
        <v>25886.84</v>
      </c>
      <c r="P51" s="238">
        <v>0</v>
      </c>
      <c r="Q51" s="197">
        <v>23738.09</v>
      </c>
      <c r="R51" s="171">
        <f t="shared" si="22"/>
        <v>23738.09</v>
      </c>
      <c r="S51" s="202">
        <v>24042.19</v>
      </c>
      <c r="T51" s="238">
        <v>0</v>
      </c>
      <c r="U51" s="238">
        <v>22489.99</v>
      </c>
      <c r="V51" s="171">
        <f t="shared" si="23"/>
        <v>22489.99</v>
      </c>
      <c r="W51" s="56">
        <v>23856.499999999996</v>
      </c>
      <c r="X51" s="568">
        <f t="shared" si="9"/>
        <v>0</v>
      </c>
      <c r="Y51" s="569">
        <v>24051.49</v>
      </c>
      <c r="Z51" s="171">
        <f t="shared" si="24"/>
        <v>24051.49</v>
      </c>
      <c r="AA51" s="48">
        <v>27882.360000000004</v>
      </c>
      <c r="AB51" s="238">
        <f t="shared" si="11"/>
        <v>0</v>
      </c>
      <c r="AC51" s="238">
        <v>23942.590000000004</v>
      </c>
      <c r="AD51" s="171">
        <f t="shared" si="25"/>
        <v>23942.590000000004</v>
      </c>
      <c r="AE51" s="238"/>
      <c r="AF51" s="238">
        <f t="shared" si="13"/>
        <v>0</v>
      </c>
      <c r="AG51" s="196">
        <v>44</v>
      </c>
      <c r="AH51" s="73" t="s">
        <v>633</v>
      </c>
      <c r="AI51" s="139" t="s">
        <v>805</v>
      </c>
      <c r="AJ51" s="238">
        <f t="shared" si="14"/>
        <v>0</v>
      </c>
      <c r="AK51" s="238"/>
      <c r="AL51" s="358" t="s">
        <v>633</v>
      </c>
      <c r="AM51" s="48">
        <v>27882.360000000004</v>
      </c>
      <c r="AN51" s="238" t="s">
        <v>633</v>
      </c>
      <c r="AO51" s="238">
        <v>23942.590000000004</v>
      </c>
      <c r="AQ51" s="472">
        <f t="shared" si="15"/>
        <v>0</v>
      </c>
      <c r="AS51" t="s">
        <v>633</v>
      </c>
      <c r="AT51" t="s">
        <v>1900</v>
      </c>
      <c r="AU51" s="48">
        <v>19391.349999999999</v>
      </c>
      <c r="AV51" s="48">
        <v>766.22</v>
      </c>
      <c r="AW51" s="48">
        <v>151.08000000000001</v>
      </c>
      <c r="AX51" s="48">
        <v>0</v>
      </c>
      <c r="AY51" s="48">
        <v>2244.88</v>
      </c>
      <c r="AZ51" s="48">
        <v>797.06</v>
      </c>
      <c r="BA51" s="48">
        <v>504.13</v>
      </c>
      <c r="BB51" s="48">
        <v>0</v>
      </c>
      <c r="BC51" s="48">
        <v>46.25</v>
      </c>
      <c r="BD51" s="48">
        <v>41.62</v>
      </c>
      <c r="BE51" s="48"/>
      <c r="BF51" s="48">
        <f t="shared" si="3"/>
        <v>23942.590000000004</v>
      </c>
      <c r="BG51" s="48"/>
      <c r="BH51" s="48"/>
      <c r="BI51" s="48" t="str">
        <f t="shared" si="16"/>
        <v>33206</v>
      </c>
      <c r="BJ51" s="48">
        <f t="shared" si="17"/>
        <v>23942.590000000004</v>
      </c>
      <c r="BK51" s="628">
        <f t="shared" si="18"/>
        <v>0</v>
      </c>
    </row>
    <row r="52" spans="1:63">
      <c r="A52" s="196">
        <v>45</v>
      </c>
      <c r="B52" s="73" t="s">
        <v>666</v>
      </c>
      <c r="C52" s="139" t="s">
        <v>806</v>
      </c>
      <c r="D52" s="168">
        <v>3268.5</v>
      </c>
      <c r="E52" s="170">
        <v>52722.74</v>
      </c>
      <c r="F52" s="171">
        <f t="shared" si="19"/>
        <v>55991.24</v>
      </c>
      <c r="G52" s="181">
        <v>47908.07</v>
      </c>
      <c r="H52" s="178">
        <v>8083.1699999999983</v>
      </c>
      <c r="I52" s="170">
        <v>74875.400000000009</v>
      </c>
      <c r="J52" s="171">
        <f t="shared" si="20"/>
        <v>82958.570000000007</v>
      </c>
      <c r="K52" s="202">
        <v>73374.509999999995</v>
      </c>
      <c r="L52" s="171">
        <v>9584.0600000000122</v>
      </c>
      <c r="M52" s="197">
        <v>78946.359999999986</v>
      </c>
      <c r="N52" s="171">
        <f t="shared" si="21"/>
        <v>88530.42</v>
      </c>
      <c r="O52" s="202">
        <v>69385.84</v>
      </c>
      <c r="P52" s="238">
        <v>19144.580000000002</v>
      </c>
      <c r="Q52" s="197">
        <v>88935.75</v>
      </c>
      <c r="R52" s="171">
        <f t="shared" si="22"/>
        <v>108080.33</v>
      </c>
      <c r="S52" s="202">
        <v>34844.26</v>
      </c>
      <c r="T52" s="238">
        <v>73236.070000000007</v>
      </c>
      <c r="U52" s="238">
        <v>89785.7</v>
      </c>
      <c r="V52" s="171">
        <f t="shared" si="23"/>
        <v>163021.77000000002</v>
      </c>
      <c r="W52" s="56">
        <v>146196.99000000002</v>
      </c>
      <c r="X52" s="568">
        <f t="shared" si="9"/>
        <v>16824.78</v>
      </c>
      <c r="Y52" s="569">
        <v>94260.68</v>
      </c>
      <c r="Z52" s="171">
        <f t="shared" si="24"/>
        <v>111085.45999999999</v>
      </c>
      <c r="AA52" s="48">
        <v>137139.47</v>
      </c>
      <c r="AB52" s="238">
        <f t="shared" si="11"/>
        <v>0</v>
      </c>
      <c r="AC52" s="238">
        <v>94853.99000000002</v>
      </c>
      <c r="AD52" s="171">
        <f t="shared" si="25"/>
        <v>94853.99000000002</v>
      </c>
      <c r="AE52" s="238"/>
      <c r="AF52" s="238">
        <f t="shared" si="13"/>
        <v>0</v>
      </c>
      <c r="AG52" s="196">
        <v>45</v>
      </c>
      <c r="AH52" s="73" t="s">
        <v>666</v>
      </c>
      <c r="AI52" s="139" t="s">
        <v>806</v>
      </c>
      <c r="AJ52" s="238">
        <f t="shared" si="14"/>
        <v>0</v>
      </c>
      <c r="AK52" s="238"/>
      <c r="AL52" s="358" t="s">
        <v>666</v>
      </c>
      <c r="AM52" s="48">
        <v>137139.47</v>
      </c>
      <c r="AN52" s="238" t="s">
        <v>666</v>
      </c>
      <c r="AO52" s="238">
        <v>94853.99000000002</v>
      </c>
      <c r="AQ52" s="472">
        <f t="shared" si="15"/>
        <v>0</v>
      </c>
      <c r="AS52" t="s">
        <v>666</v>
      </c>
      <c r="AT52" t="s">
        <v>1918</v>
      </c>
      <c r="AU52" s="48">
        <v>62170.080000000002</v>
      </c>
      <c r="AV52" s="48">
        <v>5334.24</v>
      </c>
      <c r="AW52" s="48">
        <v>0</v>
      </c>
      <c r="AX52" s="48">
        <v>0</v>
      </c>
      <c r="AY52" s="48">
        <v>13970.92</v>
      </c>
      <c r="AZ52" s="48">
        <v>4276.6400000000003</v>
      </c>
      <c r="BA52" s="48">
        <v>3538.17</v>
      </c>
      <c r="BB52" s="48">
        <v>3397.88</v>
      </c>
      <c r="BC52" s="48">
        <v>340.71</v>
      </c>
      <c r="BD52" s="48">
        <v>1825.35</v>
      </c>
      <c r="BE52" s="48"/>
      <c r="BF52" s="48">
        <f t="shared" si="3"/>
        <v>94853.99000000002</v>
      </c>
      <c r="BG52" s="48"/>
      <c r="BH52" s="48"/>
      <c r="BI52" s="48" t="str">
        <f t="shared" si="16"/>
        <v>36400</v>
      </c>
      <c r="BJ52" s="48">
        <f t="shared" si="17"/>
        <v>94853.99000000002</v>
      </c>
      <c r="BK52" s="628">
        <f t="shared" si="18"/>
        <v>0</v>
      </c>
    </row>
    <row r="53" spans="1:63">
      <c r="A53" s="196">
        <v>46</v>
      </c>
      <c r="B53" s="73" t="s">
        <v>626</v>
      </c>
      <c r="C53" s="139" t="s">
        <v>627</v>
      </c>
      <c r="D53" s="168">
        <v>11476.130000000012</v>
      </c>
      <c r="E53" s="170">
        <v>112449.19</v>
      </c>
      <c r="F53" s="171">
        <f t="shared" si="19"/>
        <v>123925.32</v>
      </c>
      <c r="G53" s="181">
        <v>133857.32999999999</v>
      </c>
      <c r="H53" s="178">
        <v>0</v>
      </c>
      <c r="I53" s="170">
        <v>150618.21</v>
      </c>
      <c r="J53" s="171">
        <f t="shared" si="20"/>
        <v>150618.21</v>
      </c>
      <c r="K53" s="202">
        <v>152633.56999999995</v>
      </c>
      <c r="L53" s="171">
        <v>0</v>
      </c>
      <c r="M53" s="197">
        <v>152899.47</v>
      </c>
      <c r="N53" s="171">
        <f t="shared" si="21"/>
        <v>152899.47</v>
      </c>
      <c r="O53" s="202">
        <v>161166.07</v>
      </c>
      <c r="P53" s="238">
        <v>0</v>
      </c>
      <c r="Q53" s="197">
        <v>175770.70000000004</v>
      </c>
      <c r="R53" s="171">
        <f t="shared" si="22"/>
        <v>175770.70000000004</v>
      </c>
      <c r="S53" s="202">
        <v>185235.1</v>
      </c>
      <c r="T53" s="238">
        <v>0</v>
      </c>
      <c r="U53" s="238">
        <v>179720.37</v>
      </c>
      <c r="V53" s="171">
        <f t="shared" si="23"/>
        <v>179720.37</v>
      </c>
      <c r="W53" s="56">
        <v>207026.25000000009</v>
      </c>
      <c r="X53" s="568">
        <f t="shared" si="9"/>
        <v>0</v>
      </c>
      <c r="Y53" s="569">
        <v>202147.71999999997</v>
      </c>
      <c r="Z53" s="171">
        <f t="shared" si="24"/>
        <v>202147.71999999997</v>
      </c>
      <c r="AA53" s="48">
        <v>229714.41000000003</v>
      </c>
      <c r="AB53" s="238">
        <f t="shared" si="11"/>
        <v>0</v>
      </c>
      <c r="AC53" s="238">
        <v>205329.62000000002</v>
      </c>
      <c r="AD53" s="171">
        <f t="shared" si="25"/>
        <v>205329.62000000002</v>
      </c>
      <c r="AE53" s="238"/>
      <c r="AF53" s="238">
        <f t="shared" si="13"/>
        <v>0</v>
      </c>
      <c r="AG53" s="196">
        <v>46</v>
      </c>
      <c r="AH53" s="73" t="s">
        <v>626</v>
      </c>
      <c r="AI53" s="139" t="s">
        <v>627</v>
      </c>
      <c r="AJ53" s="238">
        <f t="shared" si="14"/>
        <v>0</v>
      </c>
      <c r="AK53" s="238"/>
      <c r="AL53" s="358" t="s">
        <v>626</v>
      </c>
      <c r="AM53" s="48">
        <v>229714.41000000003</v>
      </c>
      <c r="AN53" s="238" t="s">
        <v>626</v>
      </c>
      <c r="AO53" s="238">
        <v>205329.62000000002</v>
      </c>
      <c r="AQ53" s="472">
        <f t="shared" si="15"/>
        <v>0</v>
      </c>
      <c r="AS53" t="s">
        <v>626</v>
      </c>
      <c r="AT53" t="s">
        <v>1896</v>
      </c>
      <c r="AU53" s="48">
        <v>129068.46</v>
      </c>
      <c r="AV53" s="48">
        <v>9676.25</v>
      </c>
      <c r="AW53" s="48">
        <v>2243.09</v>
      </c>
      <c r="AX53" s="48">
        <v>1391.71</v>
      </c>
      <c r="AY53" s="48">
        <v>33642.379999999997</v>
      </c>
      <c r="AZ53" s="48">
        <v>10862.73</v>
      </c>
      <c r="BA53" s="48">
        <v>8076.1</v>
      </c>
      <c r="BB53" s="48">
        <v>211.65</v>
      </c>
      <c r="BC53" s="48">
        <v>759.99</v>
      </c>
      <c r="BD53" s="48">
        <v>9397.26</v>
      </c>
      <c r="BE53" s="48"/>
      <c r="BF53" s="48">
        <f t="shared" si="3"/>
        <v>205329.62000000002</v>
      </c>
      <c r="BG53" s="48"/>
      <c r="BH53" s="48"/>
      <c r="BI53" s="48" t="str">
        <f t="shared" si="16"/>
        <v>33115</v>
      </c>
      <c r="BJ53" s="48">
        <f t="shared" si="17"/>
        <v>205329.62000000002</v>
      </c>
      <c r="BK53" s="628">
        <f t="shared" si="18"/>
        <v>0</v>
      </c>
    </row>
    <row r="54" spans="1:63">
      <c r="A54" s="196">
        <v>47</v>
      </c>
      <c r="B54" s="73" t="s">
        <v>543</v>
      </c>
      <c r="C54" s="139" t="s">
        <v>544</v>
      </c>
      <c r="D54" s="168">
        <v>1378.5099999999984</v>
      </c>
      <c r="E54" s="170">
        <v>40776.15</v>
      </c>
      <c r="F54" s="171">
        <f t="shared" si="19"/>
        <v>42154.66</v>
      </c>
      <c r="G54" s="181">
        <v>37843.620000000003</v>
      </c>
      <c r="H54" s="178">
        <v>4311.0400000000009</v>
      </c>
      <c r="I54" s="170">
        <v>60340.060000000012</v>
      </c>
      <c r="J54" s="171">
        <f t="shared" si="20"/>
        <v>64651.100000000013</v>
      </c>
      <c r="K54" s="202">
        <v>58324.669999999991</v>
      </c>
      <c r="L54" s="171">
        <v>6326.4300000000221</v>
      </c>
      <c r="M54" s="197">
        <v>61316.3</v>
      </c>
      <c r="N54" s="171">
        <f t="shared" si="21"/>
        <v>67642.730000000025</v>
      </c>
      <c r="O54" s="202">
        <v>58344.549999999996</v>
      </c>
      <c r="P54" s="238">
        <v>9298.1800000000294</v>
      </c>
      <c r="Q54" s="197">
        <v>67374.430000000008</v>
      </c>
      <c r="R54" s="171">
        <f t="shared" si="22"/>
        <v>76672.610000000044</v>
      </c>
      <c r="S54" s="202">
        <v>62220.29</v>
      </c>
      <c r="T54" s="238">
        <v>14452.320000000043</v>
      </c>
      <c r="U54" s="238">
        <v>66578.149999999994</v>
      </c>
      <c r="V54" s="171">
        <f t="shared" si="23"/>
        <v>81030.47000000003</v>
      </c>
      <c r="W54" s="56">
        <v>98681.82</v>
      </c>
      <c r="X54" s="568">
        <f t="shared" si="9"/>
        <v>0</v>
      </c>
      <c r="Y54" s="569">
        <v>70982.69</v>
      </c>
      <c r="Z54" s="171">
        <f t="shared" si="24"/>
        <v>70982.69</v>
      </c>
      <c r="AA54" s="48">
        <v>87949.17</v>
      </c>
      <c r="AB54" s="238">
        <f t="shared" si="11"/>
        <v>0</v>
      </c>
      <c r="AC54" s="238">
        <v>70139.13</v>
      </c>
      <c r="AD54" s="171">
        <f t="shared" si="25"/>
        <v>70139.13</v>
      </c>
      <c r="AE54" s="238"/>
      <c r="AF54" s="238">
        <f t="shared" si="13"/>
        <v>0</v>
      </c>
      <c r="AG54" s="196">
        <v>47</v>
      </c>
      <c r="AH54" s="73" t="s">
        <v>543</v>
      </c>
      <c r="AI54" s="139" t="s">
        <v>544</v>
      </c>
      <c r="AJ54" s="238">
        <f t="shared" si="14"/>
        <v>0</v>
      </c>
      <c r="AK54" s="238"/>
      <c r="AL54" s="358" t="s">
        <v>543</v>
      </c>
      <c r="AM54" s="48">
        <v>87949.17</v>
      </c>
      <c r="AN54" s="238" t="s">
        <v>543</v>
      </c>
      <c r="AO54" s="238">
        <v>70139.13</v>
      </c>
      <c r="AQ54" s="472">
        <f t="shared" si="15"/>
        <v>0</v>
      </c>
      <c r="AS54" t="s">
        <v>543</v>
      </c>
      <c r="AT54" t="s">
        <v>1853</v>
      </c>
      <c r="AU54" s="48">
        <v>46375</v>
      </c>
      <c r="AV54" s="48">
        <v>2220.87</v>
      </c>
      <c r="AW54" s="48">
        <v>441.23</v>
      </c>
      <c r="AX54" s="48">
        <v>0</v>
      </c>
      <c r="AY54" s="48">
        <v>11355.74</v>
      </c>
      <c r="AZ54" s="48">
        <v>3557.62</v>
      </c>
      <c r="BA54" s="48">
        <v>2454.5500000000002</v>
      </c>
      <c r="BB54" s="48">
        <v>335.01</v>
      </c>
      <c r="BC54" s="48">
        <v>220.61</v>
      </c>
      <c r="BD54" s="48">
        <v>3178.5</v>
      </c>
      <c r="BE54" s="48"/>
      <c r="BF54" s="48">
        <f t="shared" si="3"/>
        <v>70139.13</v>
      </c>
      <c r="BG54" s="48"/>
      <c r="BH54" s="48"/>
      <c r="BI54" s="48" t="str">
        <f t="shared" si="16"/>
        <v>29011</v>
      </c>
      <c r="BJ54" s="48">
        <f t="shared" si="17"/>
        <v>70139.13</v>
      </c>
      <c r="BK54" s="628">
        <f t="shared" si="18"/>
        <v>0</v>
      </c>
    </row>
    <row r="55" spans="1:63">
      <c r="A55" s="196">
        <v>48</v>
      </c>
      <c r="B55" s="73" t="s">
        <v>552</v>
      </c>
      <c r="C55" s="139" t="s">
        <v>553</v>
      </c>
      <c r="D55" s="168">
        <v>0</v>
      </c>
      <c r="E55" s="170">
        <v>31209.13</v>
      </c>
      <c r="F55" s="171">
        <f t="shared" si="19"/>
        <v>31209.13</v>
      </c>
      <c r="G55" s="181">
        <v>28561.89</v>
      </c>
      <c r="H55" s="178">
        <v>2647.2400000000016</v>
      </c>
      <c r="I55" s="170">
        <v>46495.96</v>
      </c>
      <c r="J55" s="171">
        <f t="shared" si="20"/>
        <v>49143.199999999997</v>
      </c>
      <c r="K55" s="202">
        <v>53129.17</v>
      </c>
      <c r="L55" s="171">
        <v>0</v>
      </c>
      <c r="M55" s="197">
        <v>47335.899999999994</v>
      </c>
      <c r="N55" s="171">
        <f t="shared" si="21"/>
        <v>47335.899999999994</v>
      </c>
      <c r="O55" s="202">
        <v>50661.11</v>
      </c>
      <c r="P55" s="238">
        <v>0</v>
      </c>
      <c r="Q55" s="197">
        <v>47456.54</v>
      </c>
      <c r="R55" s="171">
        <f t="shared" si="22"/>
        <v>47456.54</v>
      </c>
      <c r="S55" s="202">
        <v>46638.38</v>
      </c>
      <c r="T55" s="238">
        <v>818.16000000000349</v>
      </c>
      <c r="U55" s="238">
        <v>50003.39</v>
      </c>
      <c r="V55" s="171">
        <f t="shared" si="23"/>
        <v>50821.55</v>
      </c>
      <c r="W55" s="56">
        <v>55246.140000000007</v>
      </c>
      <c r="X55" s="568">
        <f t="shared" si="9"/>
        <v>0</v>
      </c>
      <c r="Y55" s="569">
        <v>52353.020000000004</v>
      </c>
      <c r="Z55" s="171">
        <f t="shared" si="24"/>
        <v>52353.020000000004</v>
      </c>
      <c r="AA55" s="48">
        <v>47136.579999999994</v>
      </c>
      <c r="AB55" s="238">
        <f t="shared" si="11"/>
        <v>5216.4400000000096</v>
      </c>
      <c r="AC55" s="238">
        <v>49424.57</v>
      </c>
      <c r="AD55" s="171">
        <f t="shared" si="25"/>
        <v>54641.010000000009</v>
      </c>
      <c r="AE55" s="238"/>
      <c r="AF55" s="238">
        <f t="shared" si="13"/>
        <v>0</v>
      </c>
      <c r="AG55" s="196">
        <v>48</v>
      </c>
      <c r="AH55" s="73" t="s">
        <v>552</v>
      </c>
      <c r="AI55" s="139" t="s">
        <v>553</v>
      </c>
      <c r="AJ55" s="238">
        <f t="shared" si="14"/>
        <v>0</v>
      </c>
      <c r="AK55" s="238"/>
      <c r="AL55" s="358" t="s">
        <v>552</v>
      </c>
      <c r="AM55" s="48">
        <v>47136.579999999994</v>
      </c>
      <c r="AN55" s="238" t="s">
        <v>552</v>
      </c>
      <c r="AO55" s="238">
        <v>49424.57</v>
      </c>
      <c r="AQ55" s="472">
        <f t="shared" si="15"/>
        <v>0</v>
      </c>
      <c r="AS55" t="s">
        <v>552</v>
      </c>
      <c r="AT55" t="s">
        <v>1858</v>
      </c>
      <c r="AU55" s="48">
        <v>43106.57</v>
      </c>
      <c r="AV55" s="48">
        <v>0</v>
      </c>
      <c r="AW55" s="48">
        <v>0</v>
      </c>
      <c r="AX55" s="48">
        <v>0</v>
      </c>
      <c r="AY55" s="48">
        <v>4095.08</v>
      </c>
      <c r="AZ55" s="48">
        <v>1348.42</v>
      </c>
      <c r="BA55" s="48">
        <v>0</v>
      </c>
      <c r="BB55" s="48">
        <v>661.69</v>
      </c>
      <c r="BC55" s="48">
        <v>212.81</v>
      </c>
      <c r="BD55" s="48">
        <v>0</v>
      </c>
      <c r="BE55" s="48"/>
      <c r="BF55" s="48">
        <f t="shared" si="3"/>
        <v>49424.57</v>
      </c>
      <c r="BG55" s="48"/>
      <c r="BH55" s="48"/>
      <c r="BI55" s="48" t="str">
        <f t="shared" si="16"/>
        <v>29317</v>
      </c>
      <c r="BJ55" s="48">
        <f t="shared" si="17"/>
        <v>49424.57</v>
      </c>
      <c r="BK55" s="628">
        <f t="shared" si="18"/>
        <v>0</v>
      </c>
    </row>
    <row r="56" spans="1:63">
      <c r="A56" s="196">
        <v>49</v>
      </c>
      <c r="B56" s="73" t="s">
        <v>312</v>
      </c>
      <c r="C56" s="139" t="s">
        <v>313</v>
      </c>
      <c r="D56" s="168">
        <v>817.57000000000062</v>
      </c>
      <c r="E56" s="170">
        <v>12740.990000000002</v>
      </c>
      <c r="F56" s="171">
        <f t="shared" si="19"/>
        <v>13558.560000000001</v>
      </c>
      <c r="G56" s="181">
        <v>11702.78</v>
      </c>
      <c r="H56" s="178">
        <v>1855.7800000000007</v>
      </c>
      <c r="I56" s="170">
        <v>17487.28</v>
      </c>
      <c r="J56" s="171">
        <f t="shared" si="20"/>
        <v>19343.059999999998</v>
      </c>
      <c r="K56" s="202">
        <v>5100.37</v>
      </c>
      <c r="L56" s="171">
        <v>14242.689999999999</v>
      </c>
      <c r="M56" s="197">
        <v>17653.89</v>
      </c>
      <c r="N56" s="171">
        <f t="shared" si="21"/>
        <v>31896.579999999998</v>
      </c>
      <c r="O56" s="202">
        <v>19940.09</v>
      </c>
      <c r="P56" s="238">
        <v>11956.489999999998</v>
      </c>
      <c r="Q56" s="197">
        <v>20557.11</v>
      </c>
      <c r="R56" s="171">
        <f t="shared" si="22"/>
        <v>32513.599999999999</v>
      </c>
      <c r="S56" s="202">
        <v>8177.25</v>
      </c>
      <c r="T56" s="238">
        <v>24336.35</v>
      </c>
      <c r="U56" s="238">
        <v>19691.149999999998</v>
      </c>
      <c r="V56" s="171">
        <f t="shared" si="23"/>
        <v>44027.5</v>
      </c>
      <c r="W56" s="56">
        <v>21187.41</v>
      </c>
      <c r="X56" s="568">
        <f t="shared" si="9"/>
        <v>22840.09</v>
      </c>
      <c r="Y56" s="569">
        <v>24246.109999999997</v>
      </c>
      <c r="Z56" s="171">
        <f t="shared" si="24"/>
        <v>47086.2</v>
      </c>
      <c r="AA56" s="48">
        <v>1999.29</v>
      </c>
      <c r="AB56" s="238">
        <f t="shared" si="11"/>
        <v>45086.909999999996</v>
      </c>
      <c r="AC56" s="238">
        <v>21403.65</v>
      </c>
      <c r="AD56" s="171">
        <f t="shared" si="25"/>
        <v>66490.559999999998</v>
      </c>
      <c r="AE56" s="238"/>
      <c r="AF56" s="238">
        <f t="shared" si="13"/>
        <v>0</v>
      </c>
      <c r="AG56" s="196">
        <v>49</v>
      </c>
      <c r="AH56" s="73" t="s">
        <v>312</v>
      </c>
      <c r="AI56" s="139" t="s">
        <v>313</v>
      </c>
      <c r="AJ56" s="238">
        <f t="shared" si="14"/>
        <v>0</v>
      </c>
      <c r="AK56" s="238"/>
      <c r="AL56" s="358" t="s">
        <v>312</v>
      </c>
      <c r="AM56" s="48">
        <v>1999.29</v>
      </c>
      <c r="AN56" s="238" t="s">
        <v>312</v>
      </c>
      <c r="AO56" s="238">
        <v>21403.65</v>
      </c>
      <c r="AQ56" s="472">
        <f t="shared" si="15"/>
        <v>0</v>
      </c>
      <c r="AS56" t="s">
        <v>312</v>
      </c>
      <c r="AT56" t="s">
        <v>1736</v>
      </c>
      <c r="AU56" s="48">
        <v>15008.33</v>
      </c>
      <c r="AV56" s="48">
        <v>0</v>
      </c>
      <c r="AW56" s="48">
        <v>0</v>
      </c>
      <c r="AX56" s="48">
        <v>0</v>
      </c>
      <c r="AY56" s="48">
        <v>2887.98</v>
      </c>
      <c r="AZ56" s="48">
        <v>921.93</v>
      </c>
      <c r="BA56" s="48">
        <v>840.22</v>
      </c>
      <c r="BB56" s="48">
        <v>52.42</v>
      </c>
      <c r="BC56" s="48">
        <v>66.290000000000006</v>
      </c>
      <c r="BD56" s="48">
        <v>1626.48</v>
      </c>
      <c r="BE56" s="48"/>
      <c r="BF56" s="48">
        <f t="shared" si="3"/>
        <v>21403.65</v>
      </c>
      <c r="BG56" s="48"/>
      <c r="BH56" s="48"/>
      <c r="BI56" s="48" t="str">
        <f t="shared" si="16"/>
        <v>14099</v>
      </c>
      <c r="BJ56" s="48">
        <f t="shared" si="17"/>
        <v>21403.65</v>
      </c>
      <c r="BK56" s="628">
        <f t="shared" si="18"/>
        <v>0</v>
      </c>
    </row>
    <row r="57" spans="1:63">
      <c r="A57" s="196">
        <v>50</v>
      </c>
      <c r="B57" s="73" t="s">
        <v>283</v>
      </c>
      <c r="C57" s="139" t="s">
        <v>284</v>
      </c>
      <c r="D57" s="168">
        <v>2501.0199999999995</v>
      </c>
      <c r="E57" s="170">
        <v>18133.260000000002</v>
      </c>
      <c r="F57" s="171">
        <f t="shared" si="19"/>
        <v>20634.280000000002</v>
      </c>
      <c r="G57" s="181">
        <v>15545.38</v>
      </c>
      <c r="H57" s="178">
        <v>5088.9000000000033</v>
      </c>
      <c r="I57" s="170">
        <v>26472.82</v>
      </c>
      <c r="J57" s="171">
        <f t="shared" si="20"/>
        <v>31561.72</v>
      </c>
      <c r="K57" s="202">
        <v>34519.26</v>
      </c>
      <c r="L57" s="171">
        <v>0</v>
      </c>
      <c r="M57" s="197">
        <v>26333.85</v>
      </c>
      <c r="N57" s="171">
        <f t="shared" si="21"/>
        <v>26333.85</v>
      </c>
      <c r="O57" s="202">
        <v>25954.29</v>
      </c>
      <c r="P57" s="238">
        <v>379.55999999999767</v>
      </c>
      <c r="Q57" s="197">
        <v>27724.01</v>
      </c>
      <c r="R57" s="171">
        <f t="shared" si="22"/>
        <v>28103.569999999996</v>
      </c>
      <c r="S57" s="202">
        <v>29601.75</v>
      </c>
      <c r="T57" s="238">
        <v>0</v>
      </c>
      <c r="U57" s="238">
        <v>27656.36</v>
      </c>
      <c r="V57" s="171">
        <f t="shared" si="23"/>
        <v>27656.36</v>
      </c>
      <c r="W57" s="56">
        <v>30450.019999999997</v>
      </c>
      <c r="X57" s="568">
        <f t="shared" si="9"/>
        <v>0</v>
      </c>
      <c r="Y57" s="569">
        <v>28206.48</v>
      </c>
      <c r="Z57" s="171">
        <f t="shared" si="24"/>
        <v>28206.48</v>
      </c>
      <c r="AA57" s="48">
        <v>32970.74</v>
      </c>
      <c r="AB57" s="238">
        <f t="shared" si="11"/>
        <v>0</v>
      </c>
      <c r="AC57" s="238">
        <v>27263.309999999998</v>
      </c>
      <c r="AD57" s="171">
        <f t="shared" si="25"/>
        <v>27263.309999999998</v>
      </c>
      <c r="AE57" s="238"/>
      <c r="AF57" s="238">
        <f t="shared" si="13"/>
        <v>0</v>
      </c>
      <c r="AG57" s="196">
        <v>50</v>
      </c>
      <c r="AH57" s="73" t="s">
        <v>283</v>
      </c>
      <c r="AI57" s="139" t="s">
        <v>284</v>
      </c>
      <c r="AJ57" s="238">
        <f t="shared" si="14"/>
        <v>0</v>
      </c>
      <c r="AK57" s="238"/>
      <c r="AL57" s="358" t="s">
        <v>283</v>
      </c>
      <c r="AM57" s="48">
        <v>32970.74</v>
      </c>
      <c r="AN57" s="238" t="s">
        <v>283</v>
      </c>
      <c r="AO57" s="238">
        <v>27263.309999999998</v>
      </c>
      <c r="AQ57" s="472">
        <f t="shared" si="15"/>
        <v>0</v>
      </c>
      <c r="AS57" t="s">
        <v>283</v>
      </c>
      <c r="AT57" t="s">
        <v>1721</v>
      </c>
      <c r="AU57" s="48">
        <v>21848.799999999999</v>
      </c>
      <c r="AV57" s="48">
        <v>1640.35</v>
      </c>
      <c r="AW57" s="48">
        <v>228.17</v>
      </c>
      <c r="AX57" s="48">
        <v>0</v>
      </c>
      <c r="AY57" s="48">
        <v>2608.64</v>
      </c>
      <c r="AZ57" s="48">
        <v>858.72</v>
      </c>
      <c r="BA57" s="48">
        <v>0</v>
      </c>
      <c r="BB57" s="48">
        <v>0</v>
      </c>
      <c r="BC57" s="48">
        <v>78.63</v>
      </c>
      <c r="BD57" s="48">
        <v>0</v>
      </c>
      <c r="BE57" s="48"/>
      <c r="BF57" s="48">
        <f t="shared" si="3"/>
        <v>27263.309999999998</v>
      </c>
      <c r="BG57" s="48"/>
      <c r="BH57" s="48"/>
      <c r="BI57" s="48" t="str">
        <f t="shared" si="16"/>
        <v>13151</v>
      </c>
      <c r="BJ57" s="48">
        <f t="shared" si="17"/>
        <v>27263.309999999998</v>
      </c>
      <c r="BK57" s="628">
        <f t="shared" si="18"/>
        <v>0</v>
      </c>
    </row>
    <row r="58" spans="1:63">
      <c r="A58" s="196">
        <v>51</v>
      </c>
      <c r="B58" s="73" t="s">
        <v>324</v>
      </c>
      <c r="C58" s="139" t="s">
        <v>325</v>
      </c>
      <c r="D58" s="168">
        <v>30922.139999999996</v>
      </c>
      <c r="E58" s="170">
        <v>70205.2</v>
      </c>
      <c r="F58" s="171">
        <f t="shared" si="19"/>
        <v>101127.34</v>
      </c>
      <c r="G58" s="181">
        <v>82692.73</v>
      </c>
      <c r="H58" s="178">
        <v>18434.61</v>
      </c>
      <c r="I58" s="170">
        <v>96270.799999999988</v>
      </c>
      <c r="J58" s="171">
        <f t="shared" si="20"/>
        <v>114705.40999999999</v>
      </c>
      <c r="K58" s="202">
        <v>83758.91</v>
      </c>
      <c r="L58" s="171">
        <v>30946.499999999985</v>
      </c>
      <c r="M58" s="197">
        <v>96525.689999999973</v>
      </c>
      <c r="N58" s="171">
        <f t="shared" si="21"/>
        <v>127472.18999999996</v>
      </c>
      <c r="O58" s="202">
        <v>94067.22</v>
      </c>
      <c r="P58" s="238">
        <v>33404.969999999958</v>
      </c>
      <c r="Q58" s="197">
        <v>107589.47</v>
      </c>
      <c r="R58" s="171">
        <f t="shared" si="22"/>
        <v>140994.43999999994</v>
      </c>
      <c r="S58" s="202">
        <v>86656.42</v>
      </c>
      <c r="T58" s="238">
        <v>54338.019999999946</v>
      </c>
      <c r="U58" s="238">
        <v>114451.16</v>
      </c>
      <c r="V58" s="171">
        <f t="shared" si="23"/>
        <v>168789.17999999993</v>
      </c>
      <c r="W58" s="56">
        <v>88260.19</v>
      </c>
      <c r="X58" s="568">
        <f t="shared" si="9"/>
        <v>80528.989999999932</v>
      </c>
      <c r="Y58" s="569">
        <v>123083.48000000001</v>
      </c>
      <c r="Z58" s="171">
        <f t="shared" si="24"/>
        <v>203612.46999999994</v>
      </c>
      <c r="AA58" s="48">
        <v>206747.84999999995</v>
      </c>
      <c r="AB58" s="238">
        <f t="shared" si="11"/>
        <v>0</v>
      </c>
      <c r="AC58" s="238">
        <v>113732.59999999998</v>
      </c>
      <c r="AD58" s="171">
        <f t="shared" si="25"/>
        <v>113732.59999999998</v>
      </c>
      <c r="AE58" s="238"/>
      <c r="AF58" s="238">
        <f t="shared" si="13"/>
        <v>0</v>
      </c>
      <c r="AG58" s="196">
        <v>51</v>
      </c>
      <c r="AH58" s="73" t="s">
        <v>324</v>
      </c>
      <c r="AI58" s="139" t="s">
        <v>325</v>
      </c>
      <c r="AJ58" s="238">
        <f t="shared" si="14"/>
        <v>0</v>
      </c>
      <c r="AK58" s="238"/>
      <c r="AL58" s="358" t="s">
        <v>324</v>
      </c>
      <c r="AM58" s="48">
        <v>206747.84999999995</v>
      </c>
      <c r="AN58" s="238" t="s">
        <v>324</v>
      </c>
      <c r="AO58" s="238">
        <v>113732.59999999998</v>
      </c>
      <c r="AQ58" s="472">
        <f t="shared" si="15"/>
        <v>0</v>
      </c>
      <c r="AS58" t="s">
        <v>324</v>
      </c>
      <c r="AT58" t="s">
        <v>1742</v>
      </c>
      <c r="AU58" s="48">
        <v>83675.39</v>
      </c>
      <c r="AV58" s="48">
        <v>2925.01</v>
      </c>
      <c r="AW58" s="48">
        <v>1098.18</v>
      </c>
      <c r="AX58" s="48">
        <v>0</v>
      </c>
      <c r="AY58" s="48">
        <v>19308.580000000002</v>
      </c>
      <c r="AZ58" s="48">
        <v>4653.42</v>
      </c>
      <c r="BA58" s="48">
        <v>0</v>
      </c>
      <c r="BB58" s="48">
        <v>927.23</v>
      </c>
      <c r="BC58" s="48">
        <v>474.84</v>
      </c>
      <c r="BD58" s="48">
        <v>669.95</v>
      </c>
      <c r="BE58" s="48"/>
      <c r="BF58" s="48">
        <f t="shared" si="3"/>
        <v>113732.59999999998</v>
      </c>
      <c r="BG58" s="48"/>
      <c r="BH58" s="48"/>
      <c r="BI58" s="48" t="str">
        <f t="shared" si="16"/>
        <v>15204</v>
      </c>
      <c r="BJ58" s="48">
        <f t="shared" si="17"/>
        <v>113732.59999999998</v>
      </c>
      <c r="BK58" s="628">
        <f t="shared" si="18"/>
        <v>0</v>
      </c>
    </row>
    <row r="59" spans="1:63">
      <c r="A59" s="196">
        <v>52</v>
      </c>
      <c r="B59" s="73" t="s">
        <v>205</v>
      </c>
      <c r="C59" s="139" t="s">
        <v>206</v>
      </c>
      <c r="D59" s="168">
        <v>1793.3700000000008</v>
      </c>
      <c r="E59" s="170">
        <v>20622.54</v>
      </c>
      <c r="F59" s="171">
        <f t="shared" si="19"/>
        <v>22415.910000000003</v>
      </c>
      <c r="G59" s="181">
        <v>21496.1</v>
      </c>
      <c r="H59" s="178">
        <v>919.81000000000495</v>
      </c>
      <c r="I59" s="170">
        <v>27809.940000000002</v>
      </c>
      <c r="J59" s="171">
        <f t="shared" si="20"/>
        <v>28729.750000000007</v>
      </c>
      <c r="K59" s="202">
        <v>36276.68</v>
      </c>
      <c r="L59" s="171">
        <v>0</v>
      </c>
      <c r="M59" s="197">
        <v>29173.39</v>
      </c>
      <c r="N59" s="171">
        <f t="shared" si="21"/>
        <v>29173.39</v>
      </c>
      <c r="O59" s="202">
        <v>61818.92</v>
      </c>
      <c r="P59" s="238">
        <v>0</v>
      </c>
      <c r="Q59" s="197">
        <v>31417.78</v>
      </c>
      <c r="R59" s="171">
        <f t="shared" si="22"/>
        <v>31417.78</v>
      </c>
      <c r="S59" s="202">
        <v>40132.94</v>
      </c>
      <c r="T59" s="238">
        <v>0</v>
      </c>
      <c r="U59" s="238">
        <v>31253.759999999998</v>
      </c>
      <c r="V59" s="171">
        <f t="shared" si="23"/>
        <v>31253.759999999998</v>
      </c>
      <c r="W59" s="56">
        <v>36365.859999999993</v>
      </c>
      <c r="X59" s="568">
        <f t="shared" si="9"/>
        <v>0</v>
      </c>
      <c r="Y59" s="569">
        <v>36115.64</v>
      </c>
      <c r="Z59" s="171">
        <f t="shared" si="24"/>
        <v>36115.64</v>
      </c>
      <c r="AA59" s="48">
        <v>44771.76999999999</v>
      </c>
      <c r="AB59" s="238">
        <f t="shared" si="11"/>
        <v>0</v>
      </c>
      <c r="AC59" s="238">
        <v>35848.559999999998</v>
      </c>
      <c r="AD59" s="171">
        <f t="shared" si="25"/>
        <v>35848.559999999998</v>
      </c>
      <c r="AE59" s="238"/>
      <c r="AF59" s="238">
        <f t="shared" si="13"/>
        <v>0</v>
      </c>
      <c r="AG59" s="196">
        <v>52</v>
      </c>
      <c r="AH59" s="73" t="s">
        <v>205</v>
      </c>
      <c r="AI59" s="139" t="s">
        <v>206</v>
      </c>
      <c r="AJ59" s="238">
        <f t="shared" si="14"/>
        <v>0</v>
      </c>
      <c r="AK59" s="238"/>
      <c r="AL59" s="358" t="s">
        <v>205</v>
      </c>
      <c r="AM59" s="48">
        <v>44771.76999999999</v>
      </c>
      <c r="AN59" s="238" t="s">
        <v>205</v>
      </c>
      <c r="AO59" s="238">
        <v>35848.559999999998</v>
      </c>
      <c r="AQ59" s="472">
        <f t="shared" si="15"/>
        <v>0</v>
      </c>
      <c r="AS59" t="s">
        <v>205</v>
      </c>
      <c r="AT59" t="s">
        <v>1680</v>
      </c>
      <c r="AU59" s="48">
        <v>27628.58</v>
      </c>
      <c r="AV59" s="48">
        <v>149.55000000000001</v>
      </c>
      <c r="AW59" s="48">
        <v>0</v>
      </c>
      <c r="AX59" s="48">
        <v>0</v>
      </c>
      <c r="AY59" s="48">
        <v>4620.12</v>
      </c>
      <c r="AZ59" s="48">
        <v>2240.0700000000002</v>
      </c>
      <c r="BA59" s="48">
        <v>1036.02</v>
      </c>
      <c r="BB59" s="48">
        <v>0</v>
      </c>
      <c r="BC59" s="48">
        <v>174.22</v>
      </c>
      <c r="BD59" s="48">
        <v>0</v>
      </c>
      <c r="BE59" s="48"/>
      <c r="BF59" s="48">
        <f t="shared" si="3"/>
        <v>35848.559999999998</v>
      </c>
      <c r="BG59" s="48"/>
      <c r="BH59" s="48"/>
      <c r="BI59" s="48" t="str">
        <f t="shared" si="16"/>
        <v>05313</v>
      </c>
      <c r="BJ59" s="48">
        <f t="shared" si="17"/>
        <v>35848.559999999998</v>
      </c>
      <c r="BK59" s="628">
        <f t="shared" si="18"/>
        <v>0</v>
      </c>
    </row>
    <row r="60" spans="1:63">
      <c r="A60" s="196">
        <v>53</v>
      </c>
      <c r="B60" s="73" t="s">
        <v>448</v>
      </c>
      <c r="C60" s="139" t="s">
        <v>449</v>
      </c>
      <c r="D60" s="168">
        <v>0</v>
      </c>
      <c r="E60" s="170">
        <v>12944.24</v>
      </c>
      <c r="F60" s="171">
        <f t="shared" si="19"/>
        <v>12944.24</v>
      </c>
      <c r="G60" s="181">
        <v>12535</v>
      </c>
      <c r="H60" s="178">
        <v>409.23999999999978</v>
      </c>
      <c r="I60" s="170">
        <v>19536.559999999998</v>
      </c>
      <c r="J60" s="171">
        <f t="shared" si="20"/>
        <v>19945.799999999996</v>
      </c>
      <c r="K60" s="202">
        <v>12525.32</v>
      </c>
      <c r="L60" s="171">
        <v>7420.4799999999959</v>
      </c>
      <c r="M60" s="197">
        <v>19877.34</v>
      </c>
      <c r="N60" s="171">
        <f t="shared" si="21"/>
        <v>27297.819999999996</v>
      </c>
      <c r="O60" s="202">
        <v>13814.609999999999</v>
      </c>
      <c r="P60" s="238">
        <v>13483.209999999997</v>
      </c>
      <c r="Q60" s="197">
        <v>21305.05</v>
      </c>
      <c r="R60" s="171">
        <f t="shared" si="22"/>
        <v>34788.259999999995</v>
      </c>
      <c r="S60" s="202">
        <v>14614.16</v>
      </c>
      <c r="T60" s="238">
        <v>20174.099999999995</v>
      </c>
      <c r="U60" s="238">
        <v>20553.490000000002</v>
      </c>
      <c r="V60" s="171">
        <f t="shared" si="23"/>
        <v>40727.589999999997</v>
      </c>
      <c r="W60" s="56">
        <v>15354.210000000001</v>
      </c>
      <c r="X60" s="568">
        <f t="shared" si="9"/>
        <v>25373.379999999997</v>
      </c>
      <c r="Y60" s="569">
        <v>21566.49</v>
      </c>
      <c r="Z60" s="171">
        <f t="shared" si="24"/>
        <v>46939.869999999995</v>
      </c>
      <c r="AA60" s="48">
        <v>13623.74</v>
      </c>
      <c r="AB60" s="238">
        <f t="shared" si="11"/>
        <v>33316.129999999997</v>
      </c>
      <c r="AC60" s="238">
        <v>23701.38</v>
      </c>
      <c r="AD60" s="171">
        <f t="shared" si="25"/>
        <v>57017.509999999995</v>
      </c>
      <c r="AE60" s="238"/>
      <c r="AF60" s="238">
        <f t="shared" si="13"/>
        <v>0</v>
      </c>
      <c r="AG60" s="196">
        <v>53</v>
      </c>
      <c r="AH60" s="73" t="s">
        <v>448</v>
      </c>
      <c r="AI60" s="139" t="s">
        <v>449</v>
      </c>
      <c r="AJ60" s="238">
        <f t="shared" si="14"/>
        <v>0</v>
      </c>
      <c r="AK60" s="238"/>
      <c r="AL60" s="358" t="s">
        <v>448</v>
      </c>
      <c r="AM60" s="48">
        <v>13623.74</v>
      </c>
      <c r="AN60" s="238" t="s">
        <v>448</v>
      </c>
      <c r="AO60" s="238">
        <v>23701.38</v>
      </c>
      <c r="AQ60" s="472">
        <f t="shared" si="15"/>
        <v>0</v>
      </c>
      <c r="AS60" t="s">
        <v>448</v>
      </c>
      <c r="AT60" t="s">
        <v>1807</v>
      </c>
      <c r="AU60" s="48">
        <v>20351.82</v>
      </c>
      <c r="AV60" s="48">
        <v>413.18</v>
      </c>
      <c r="AW60" s="48">
        <v>53.96</v>
      </c>
      <c r="AX60" s="48">
        <v>0</v>
      </c>
      <c r="AY60" s="48">
        <v>2305.83</v>
      </c>
      <c r="AZ60" s="48">
        <v>357.67</v>
      </c>
      <c r="BA60" s="48">
        <v>178.83</v>
      </c>
      <c r="BB60" s="48">
        <v>0</v>
      </c>
      <c r="BC60" s="48">
        <v>40.090000000000003</v>
      </c>
      <c r="BD60" s="48">
        <v>0</v>
      </c>
      <c r="BE60" s="48"/>
      <c r="BF60" s="48">
        <f t="shared" si="3"/>
        <v>23701.38</v>
      </c>
      <c r="BG60" s="48"/>
      <c r="BH60" s="48"/>
      <c r="BI60" s="48" t="str">
        <f t="shared" si="16"/>
        <v>22073</v>
      </c>
      <c r="BJ60" s="48">
        <f t="shared" si="17"/>
        <v>23701.38</v>
      </c>
      <c r="BK60" s="628">
        <f t="shared" si="18"/>
        <v>0</v>
      </c>
    </row>
    <row r="61" spans="1:63">
      <c r="A61" s="196">
        <v>54</v>
      </c>
      <c r="B61" s="73" t="s">
        <v>259</v>
      </c>
      <c r="C61" s="139" t="s">
        <v>260</v>
      </c>
      <c r="D61" s="168">
        <v>0</v>
      </c>
      <c r="E61" s="170">
        <v>17428.8</v>
      </c>
      <c r="F61" s="171">
        <f t="shared" si="19"/>
        <v>17428.8</v>
      </c>
      <c r="G61" s="181">
        <v>6874.05</v>
      </c>
      <c r="H61" s="178">
        <v>10554.75</v>
      </c>
      <c r="I61" s="170">
        <v>25098.409999999996</v>
      </c>
      <c r="J61" s="171">
        <f t="shared" si="20"/>
        <v>35653.159999999996</v>
      </c>
      <c r="K61" s="202">
        <v>21811.1</v>
      </c>
      <c r="L61" s="171">
        <v>13842.059999999998</v>
      </c>
      <c r="M61" s="197">
        <v>26694.11</v>
      </c>
      <c r="N61" s="171">
        <f t="shared" si="21"/>
        <v>40536.17</v>
      </c>
      <c r="O61" s="202">
        <v>20303.650000000001</v>
      </c>
      <c r="P61" s="238">
        <v>20232.519999999997</v>
      </c>
      <c r="Q61" s="197">
        <v>27265.760000000002</v>
      </c>
      <c r="R61" s="171">
        <f t="shared" si="22"/>
        <v>47498.28</v>
      </c>
      <c r="S61" s="202">
        <v>20695.900000000001</v>
      </c>
      <c r="T61" s="238">
        <v>26802.379999999997</v>
      </c>
      <c r="U61" s="238">
        <v>27825.15</v>
      </c>
      <c r="V61" s="171">
        <f t="shared" si="23"/>
        <v>54627.53</v>
      </c>
      <c r="W61" s="56">
        <v>47381.990000000005</v>
      </c>
      <c r="X61" s="568">
        <f t="shared" si="9"/>
        <v>7245.5399999999936</v>
      </c>
      <c r="Y61" s="569">
        <v>30856.16</v>
      </c>
      <c r="Z61" s="171">
        <f t="shared" si="24"/>
        <v>38101.699999999997</v>
      </c>
      <c r="AA61" s="48">
        <v>29815.780000000006</v>
      </c>
      <c r="AB61" s="238">
        <f t="shared" si="11"/>
        <v>8285.919999999991</v>
      </c>
      <c r="AC61" s="238">
        <v>28702.89</v>
      </c>
      <c r="AD61" s="171">
        <f t="shared" si="25"/>
        <v>36988.80999999999</v>
      </c>
      <c r="AE61" s="238"/>
      <c r="AF61" s="238">
        <f t="shared" si="13"/>
        <v>0</v>
      </c>
      <c r="AG61" s="196">
        <v>54</v>
      </c>
      <c r="AH61" s="73" t="s">
        <v>259</v>
      </c>
      <c r="AI61" s="139" t="s">
        <v>260</v>
      </c>
      <c r="AJ61" s="238">
        <f t="shared" si="14"/>
        <v>0</v>
      </c>
      <c r="AK61" s="238"/>
      <c r="AL61" s="358" t="s">
        <v>259</v>
      </c>
      <c r="AM61" s="48">
        <v>29815.780000000006</v>
      </c>
      <c r="AN61" s="238" t="s">
        <v>259</v>
      </c>
      <c r="AO61" s="238">
        <v>28702.89</v>
      </c>
      <c r="AQ61" s="472">
        <f t="shared" si="15"/>
        <v>0</v>
      </c>
      <c r="AS61" t="s">
        <v>259</v>
      </c>
      <c r="AT61" t="s">
        <v>1709</v>
      </c>
      <c r="AU61" s="48">
        <v>22047.67</v>
      </c>
      <c r="AV61" s="48">
        <v>1.55</v>
      </c>
      <c r="AW61" s="48">
        <v>0</v>
      </c>
      <c r="AX61" s="48">
        <v>0</v>
      </c>
      <c r="AY61" s="48">
        <v>4210.1000000000004</v>
      </c>
      <c r="AZ61" s="48">
        <v>1464.6</v>
      </c>
      <c r="BA61" s="48">
        <v>978.97</v>
      </c>
      <c r="BB61" s="48">
        <v>0</v>
      </c>
      <c r="BC61" s="48">
        <v>0</v>
      </c>
      <c r="BD61" s="48">
        <v>0</v>
      </c>
      <c r="BE61" s="48"/>
      <c r="BF61" s="48">
        <f t="shared" si="3"/>
        <v>28702.89</v>
      </c>
      <c r="BG61" s="48"/>
      <c r="BH61" s="48"/>
      <c r="BI61" s="48" t="str">
        <f t="shared" si="16"/>
        <v>10050</v>
      </c>
      <c r="BJ61" s="48">
        <f t="shared" si="17"/>
        <v>28702.89</v>
      </c>
      <c r="BK61" s="628">
        <f t="shared" si="18"/>
        <v>0</v>
      </c>
    </row>
    <row r="62" spans="1:63">
      <c r="A62" s="196">
        <v>55</v>
      </c>
      <c r="B62" s="73" t="s">
        <v>501</v>
      </c>
      <c r="C62" s="139" t="s">
        <v>502</v>
      </c>
      <c r="D62" s="168">
        <v>1933.5899999999992</v>
      </c>
      <c r="E62" s="170">
        <v>19250.04</v>
      </c>
      <c r="F62" s="171">
        <f t="shared" si="19"/>
        <v>21183.63</v>
      </c>
      <c r="G62" s="181"/>
      <c r="H62" s="178">
        <v>21183.63</v>
      </c>
      <c r="I62" s="170">
        <v>30575.230000000003</v>
      </c>
      <c r="J62" s="171">
        <f t="shared" si="20"/>
        <v>51758.86</v>
      </c>
      <c r="K62" s="202">
        <v>29071.79</v>
      </c>
      <c r="L62" s="171">
        <v>22687.07</v>
      </c>
      <c r="M62" s="197">
        <v>30735.190000000002</v>
      </c>
      <c r="N62" s="171">
        <f t="shared" si="21"/>
        <v>53422.26</v>
      </c>
      <c r="O62" s="202">
        <v>18145.96</v>
      </c>
      <c r="P62" s="238">
        <v>35276.300000000003</v>
      </c>
      <c r="Q62" s="197">
        <v>35640.879999999997</v>
      </c>
      <c r="R62" s="171">
        <f t="shared" si="22"/>
        <v>70917.179999999993</v>
      </c>
      <c r="S62" s="202">
        <v>30473.929999999997</v>
      </c>
      <c r="T62" s="238">
        <v>40443.25</v>
      </c>
      <c r="U62" s="238">
        <v>36014.229999999996</v>
      </c>
      <c r="V62" s="171">
        <f t="shared" si="23"/>
        <v>76457.48</v>
      </c>
      <c r="W62" s="56">
        <v>41646.609999999993</v>
      </c>
      <c r="X62" s="568">
        <f t="shared" si="9"/>
        <v>34810.870000000003</v>
      </c>
      <c r="Y62" s="569">
        <v>39892.550000000003</v>
      </c>
      <c r="Z62" s="171">
        <f t="shared" si="24"/>
        <v>74703.420000000013</v>
      </c>
      <c r="AA62" s="48">
        <v>50094.399999999987</v>
      </c>
      <c r="AB62" s="238">
        <f t="shared" si="11"/>
        <v>24609.020000000026</v>
      </c>
      <c r="AC62" s="238">
        <v>41885.11</v>
      </c>
      <c r="AD62" s="171">
        <f t="shared" si="25"/>
        <v>66494.130000000034</v>
      </c>
      <c r="AE62" s="238"/>
      <c r="AF62" s="238">
        <f t="shared" si="13"/>
        <v>0</v>
      </c>
      <c r="AG62" s="196">
        <v>55</v>
      </c>
      <c r="AH62" s="73" t="s">
        <v>501</v>
      </c>
      <c r="AI62" s="139" t="s">
        <v>502</v>
      </c>
      <c r="AJ62" s="238">
        <f t="shared" si="14"/>
        <v>0</v>
      </c>
      <c r="AK62" s="238"/>
      <c r="AL62" s="358" t="s">
        <v>501</v>
      </c>
      <c r="AM62" s="48">
        <v>50094.399999999987</v>
      </c>
      <c r="AN62" s="238" t="s">
        <v>501</v>
      </c>
      <c r="AO62" s="238">
        <v>41885.11</v>
      </c>
      <c r="AQ62" s="472">
        <f t="shared" si="15"/>
        <v>0</v>
      </c>
      <c r="AS62" t="s">
        <v>501</v>
      </c>
      <c r="AT62" t="s">
        <v>1833</v>
      </c>
      <c r="AU62" s="48">
        <v>29765.360000000001</v>
      </c>
      <c r="AV62" s="48">
        <v>960.47</v>
      </c>
      <c r="AW62" s="48">
        <v>266.70999999999998</v>
      </c>
      <c r="AX62" s="48">
        <v>0</v>
      </c>
      <c r="AY62" s="48">
        <v>5638.5</v>
      </c>
      <c r="AZ62" s="48">
        <v>2506.7800000000002</v>
      </c>
      <c r="BA62" s="48">
        <v>1230.27</v>
      </c>
      <c r="BB62" s="48">
        <v>0</v>
      </c>
      <c r="BC62" s="48">
        <v>171.12</v>
      </c>
      <c r="BD62" s="48">
        <v>1345.9</v>
      </c>
      <c r="BE62" s="48"/>
      <c r="BF62" s="48">
        <f t="shared" si="3"/>
        <v>41885.11</v>
      </c>
      <c r="BG62" s="48"/>
      <c r="BH62" s="48"/>
      <c r="BI62" s="48" t="str">
        <f t="shared" si="16"/>
        <v>26059</v>
      </c>
      <c r="BJ62" s="48">
        <f t="shared" si="17"/>
        <v>41885.11</v>
      </c>
      <c r="BK62" s="628">
        <f t="shared" si="18"/>
        <v>0</v>
      </c>
    </row>
    <row r="63" spans="1:63">
      <c r="A63" s="196">
        <v>56</v>
      </c>
      <c r="B63" s="73" t="s">
        <v>384</v>
      </c>
      <c r="C63" s="139" t="s">
        <v>385</v>
      </c>
      <c r="D63" s="168">
        <v>714.06000000000017</v>
      </c>
      <c r="E63" s="170">
        <v>2696</v>
      </c>
      <c r="F63" s="171">
        <f t="shared" si="19"/>
        <v>3410.0600000000004</v>
      </c>
      <c r="G63" s="181">
        <v>1224.55</v>
      </c>
      <c r="H63" s="178">
        <v>2185.5100000000002</v>
      </c>
      <c r="I63" s="170">
        <v>4257.3999999999996</v>
      </c>
      <c r="J63" s="171">
        <f t="shared" si="20"/>
        <v>6442.91</v>
      </c>
      <c r="K63" s="202">
        <v>995.04000000000008</v>
      </c>
      <c r="L63" s="171">
        <v>5447.87</v>
      </c>
      <c r="M63" s="197">
        <v>4308.3599999999997</v>
      </c>
      <c r="N63" s="171">
        <f t="shared" si="21"/>
        <v>9756.23</v>
      </c>
      <c r="O63" s="202">
        <v>6181.76</v>
      </c>
      <c r="P63" s="238">
        <v>3574.4699999999993</v>
      </c>
      <c r="Q63" s="197">
        <v>4532.4000000000005</v>
      </c>
      <c r="R63" s="171">
        <f t="shared" si="22"/>
        <v>8106.87</v>
      </c>
      <c r="S63" s="202">
        <v>0</v>
      </c>
      <c r="T63" s="238">
        <v>8106.87</v>
      </c>
      <c r="U63" s="238">
        <v>4659.82</v>
      </c>
      <c r="V63" s="171">
        <f t="shared" si="23"/>
        <v>12766.689999999999</v>
      </c>
      <c r="W63" s="56">
        <v>5345</v>
      </c>
      <c r="X63" s="568">
        <f t="shared" si="9"/>
        <v>7421.6899999999987</v>
      </c>
      <c r="Y63" s="569">
        <v>4890.8</v>
      </c>
      <c r="Z63" s="171">
        <f t="shared" si="24"/>
        <v>12312.489999999998</v>
      </c>
      <c r="AA63" s="48">
        <v>9000</v>
      </c>
      <c r="AB63" s="238">
        <f t="shared" si="11"/>
        <v>3312.489999999998</v>
      </c>
      <c r="AC63" s="238">
        <v>5148.4500000000007</v>
      </c>
      <c r="AD63" s="171">
        <f t="shared" si="25"/>
        <v>8460.9399999999987</v>
      </c>
      <c r="AE63" s="238"/>
      <c r="AF63" s="238">
        <f t="shared" si="13"/>
        <v>0</v>
      </c>
      <c r="AG63" s="196">
        <v>56</v>
      </c>
      <c r="AH63" s="73" t="s">
        <v>384</v>
      </c>
      <c r="AI63" s="139" t="s">
        <v>385</v>
      </c>
      <c r="AJ63" s="238">
        <f t="shared" si="14"/>
        <v>0</v>
      </c>
      <c r="AK63" s="238"/>
      <c r="AL63" s="358" t="s">
        <v>384</v>
      </c>
      <c r="AM63" s="48">
        <v>9000</v>
      </c>
      <c r="AN63" s="238" t="s">
        <v>384</v>
      </c>
      <c r="AO63" s="238">
        <v>5148.4500000000007</v>
      </c>
      <c r="AQ63" s="472">
        <f t="shared" si="15"/>
        <v>0</v>
      </c>
      <c r="AS63" t="s">
        <v>384</v>
      </c>
      <c r="AT63" t="s">
        <v>1775</v>
      </c>
      <c r="AU63" s="48">
        <v>4146.2700000000004</v>
      </c>
      <c r="AV63" s="48">
        <v>0</v>
      </c>
      <c r="AW63" s="48">
        <v>0</v>
      </c>
      <c r="AX63" s="48">
        <v>0</v>
      </c>
      <c r="AY63" s="48">
        <v>1002.18</v>
      </c>
      <c r="AZ63" s="48">
        <v>0</v>
      </c>
      <c r="BA63" s="48">
        <v>0</v>
      </c>
      <c r="BB63" s="48">
        <v>0</v>
      </c>
      <c r="BC63" s="48">
        <v>0</v>
      </c>
      <c r="BD63" s="48">
        <v>0</v>
      </c>
      <c r="BE63" s="48"/>
      <c r="BF63" s="48">
        <f t="shared" si="3"/>
        <v>5148.4500000000007</v>
      </c>
      <c r="BG63" s="48"/>
      <c r="BH63" s="48"/>
      <c r="BI63" s="48" t="str">
        <f t="shared" si="16"/>
        <v>19007</v>
      </c>
      <c r="BJ63" s="48">
        <f t="shared" si="17"/>
        <v>5148.4500000000007</v>
      </c>
      <c r="BK63" s="628">
        <f t="shared" si="18"/>
        <v>0</v>
      </c>
    </row>
    <row r="64" spans="1:63">
      <c r="A64" s="196">
        <v>57</v>
      </c>
      <c r="B64" s="73" t="s">
        <v>586</v>
      </c>
      <c r="C64" s="139" t="s">
        <v>587</v>
      </c>
      <c r="D64" s="168">
        <v>1681.08</v>
      </c>
      <c r="E64" s="170">
        <v>32328.100000000002</v>
      </c>
      <c r="F64" s="171">
        <f t="shared" si="19"/>
        <v>34009.18</v>
      </c>
      <c r="G64" s="181">
        <v>34009.18</v>
      </c>
      <c r="H64" s="178">
        <v>0</v>
      </c>
      <c r="I64" s="170">
        <v>44003.079999999994</v>
      </c>
      <c r="J64" s="171">
        <f t="shared" si="20"/>
        <v>44003.079999999994</v>
      </c>
      <c r="K64" s="202">
        <v>44003.079999999994</v>
      </c>
      <c r="L64" s="171">
        <v>0</v>
      </c>
      <c r="M64" s="197">
        <v>51622.81</v>
      </c>
      <c r="N64" s="171">
        <f t="shared" si="21"/>
        <v>51622.81</v>
      </c>
      <c r="O64" s="202">
        <v>51629.02</v>
      </c>
      <c r="P64" s="238">
        <v>0</v>
      </c>
      <c r="Q64" s="197">
        <v>56322.14</v>
      </c>
      <c r="R64" s="171">
        <f t="shared" si="22"/>
        <v>56322.14</v>
      </c>
      <c r="S64" s="202">
        <v>56415.94</v>
      </c>
      <c r="T64" s="238">
        <v>0</v>
      </c>
      <c r="U64" s="238">
        <v>59786.33</v>
      </c>
      <c r="V64" s="171">
        <f t="shared" si="23"/>
        <v>59786.33</v>
      </c>
      <c r="W64" s="56">
        <v>59854.81</v>
      </c>
      <c r="X64" s="568">
        <f t="shared" si="9"/>
        <v>0</v>
      </c>
      <c r="Y64" s="569">
        <v>63788.88</v>
      </c>
      <c r="Z64" s="171">
        <f t="shared" si="24"/>
        <v>63788.88</v>
      </c>
      <c r="AA64" s="48">
        <v>64099.29</v>
      </c>
      <c r="AB64" s="238">
        <f t="shared" si="11"/>
        <v>0</v>
      </c>
      <c r="AC64" s="238">
        <v>66866.02</v>
      </c>
      <c r="AD64" s="171">
        <f t="shared" si="25"/>
        <v>66866.02</v>
      </c>
      <c r="AE64" s="238"/>
      <c r="AF64" s="238">
        <f t="shared" si="13"/>
        <v>0</v>
      </c>
      <c r="AG64" s="196">
        <v>57</v>
      </c>
      <c r="AH64" s="73" t="s">
        <v>586</v>
      </c>
      <c r="AI64" s="139" t="s">
        <v>587</v>
      </c>
      <c r="AJ64" s="238">
        <f t="shared" si="14"/>
        <v>0</v>
      </c>
      <c r="AK64" s="238"/>
      <c r="AL64" s="358" t="s">
        <v>586</v>
      </c>
      <c r="AM64" s="48">
        <v>64099.29</v>
      </c>
      <c r="AN64" s="238" t="s">
        <v>586</v>
      </c>
      <c r="AO64" s="238">
        <v>66866.02</v>
      </c>
      <c r="AQ64" s="472">
        <f t="shared" si="15"/>
        <v>0</v>
      </c>
      <c r="AS64" t="s">
        <v>586</v>
      </c>
      <c r="AT64" t="s">
        <v>1875</v>
      </c>
      <c r="AU64" s="48">
        <v>47905.279999999999</v>
      </c>
      <c r="AV64" s="48">
        <v>1105.08</v>
      </c>
      <c r="AW64" s="48">
        <v>0</v>
      </c>
      <c r="AX64" s="48">
        <v>0</v>
      </c>
      <c r="AY64" s="48">
        <v>12183.5</v>
      </c>
      <c r="AZ64" s="48">
        <v>2508.88</v>
      </c>
      <c r="BA64" s="48">
        <v>1607.54</v>
      </c>
      <c r="BB64" s="48">
        <v>0</v>
      </c>
      <c r="BC64" s="48">
        <v>205.47</v>
      </c>
      <c r="BD64" s="48">
        <v>1350.27</v>
      </c>
      <c r="BE64" s="48"/>
      <c r="BF64" s="48">
        <f t="shared" si="3"/>
        <v>66866.02</v>
      </c>
      <c r="BG64" s="48"/>
      <c r="BH64" s="48"/>
      <c r="BI64" s="48" t="str">
        <f t="shared" si="16"/>
        <v>31330</v>
      </c>
      <c r="BJ64" s="48">
        <f t="shared" si="17"/>
        <v>66866.02</v>
      </c>
      <c r="BK64" s="628">
        <f t="shared" si="18"/>
        <v>0</v>
      </c>
    </row>
    <row r="65" spans="1:63">
      <c r="A65" s="196">
        <v>58</v>
      </c>
      <c r="B65" s="73" t="s">
        <v>456</v>
      </c>
      <c r="C65" s="139" t="s">
        <v>457</v>
      </c>
      <c r="D65" s="168">
        <v>10465.559999999998</v>
      </c>
      <c r="E65" s="170">
        <v>37829.229999999996</v>
      </c>
      <c r="F65" s="171">
        <f t="shared" si="19"/>
        <v>48294.789999999994</v>
      </c>
      <c r="G65" s="181">
        <v>43495.43</v>
      </c>
      <c r="H65" s="178">
        <v>4799.3599999999933</v>
      </c>
      <c r="I65" s="170">
        <v>54391.880000000005</v>
      </c>
      <c r="J65" s="171">
        <f t="shared" si="20"/>
        <v>59191.24</v>
      </c>
      <c r="K65" s="202">
        <v>57861.09</v>
      </c>
      <c r="L65" s="171">
        <v>1330.1500000000015</v>
      </c>
      <c r="M65" s="197">
        <v>56741.56</v>
      </c>
      <c r="N65" s="171">
        <f t="shared" si="21"/>
        <v>58071.71</v>
      </c>
      <c r="O65" s="202">
        <v>39869</v>
      </c>
      <c r="P65" s="238">
        <v>18202.71</v>
      </c>
      <c r="Q65" s="197">
        <v>62881.27</v>
      </c>
      <c r="R65" s="171">
        <f t="shared" si="22"/>
        <v>81083.98</v>
      </c>
      <c r="S65" s="202">
        <v>74365.190000000017</v>
      </c>
      <c r="T65" s="238">
        <v>6718.789999999979</v>
      </c>
      <c r="U65" s="238">
        <v>65729.919999999998</v>
      </c>
      <c r="V65" s="171">
        <f t="shared" si="23"/>
        <v>72448.709999999977</v>
      </c>
      <c r="W65" s="56">
        <v>90015.47</v>
      </c>
      <c r="X65" s="568">
        <f t="shared" si="9"/>
        <v>0</v>
      </c>
      <c r="Y65" s="569">
        <v>76519.520000000004</v>
      </c>
      <c r="Z65" s="171">
        <f t="shared" si="24"/>
        <v>76519.520000000004</v>
      </c>
      <c r="AA65" s="48">
        <v>100184.37</v>
      </c>
      <c r="AB65" s="238">
        <f t="shared" si="11"/>
        <v>0</v>
      </c>
      <c r="AC65" s="238">
        <v>78793.02</v>
      </c>
      <c r="AD65" s="171">
        <f t="shared" si="25"/>
        <v>78793.02</v>
      </c>
      <c r="AE65" s="238"/>
      <c r="AF65" s="238">
        <f t="shared" si="13"/>
        <v>0</v>
      </c>
      <c r="AG65" s="196">
        <v>58</v>
      </c>
      <c r="AH65" s="73" t="s">
        <v>456</v>
      </c>
      <c r="AI65" s="139" t="s">
        <v>457</v>
      </c>
      <c r="AJ65" s="238">
        <f t="shared" si="14"/>
        <v>0</v>
      </c>
      <c r="AK65" s="238"/>
      <c r="AL65" s="358" t="s">
        <v>456</v>
      </c>
      <c r="AM65" s="48">
        <v>100184.37</v>
      </c>
      <c r="AN65" s="238" t="s">
        <v>456</v>
      </c>
      <c r="AO65" s="238">
        <v>78793.02</v>
      </c>
      <c r="AQ65" s="472">
        <f t="shared" si="15"/>
        <v>0</v>
      </c>
      <c r="AS65" t="s">
        <v>456</v>
      </c>
      <c r="AT65" t="s">
        <v>1811</v>
      </c>
      <c r="AU65" s="48">
        <v>53026.33</v>
      </c>
      <c r="AV65" s="48">
        <v>4444.68</v>
      </c>
      <c r="AW65" s="48">
        <v>1239.52</v>
      </c>
      <c r="AX65" s="48">
        <v>0</v>
      </c>
      <c r="AY65" s="48">
        <v>11022</v>
      </c>
      <c r="AZ65" s="48">
        <v>3663.04</v>
      </c>
      <c r="BA65" s="48">
        <v>3021.71</v>
      </c>
      <c r="BB65" s="48">
        <v>0</v>
      </c>
      <c r="BC65" s="48">
        <v>294.45999999999998</v>
      </c>
      <c r="BD65" s="48">
        <v>2081.2800000000002</v>
      </c>
      <c r="BE65" s="48"/>
      <c r="BF65" s="48">
        <f t="shared" si="3"/>
        <v>78793.02</v>
      </c>
      <c r="BG65" s="48"/>
      <c r="BH65" s="48"/>
      <c r="BI65" s="48" t="str">
        <f t="shared" si="16"/>
        <v>22207</v>
      </c>
      <c r="BJ65" s="48">
        <f t="shared" si="17"/>
        <v>78793.02</v>
      </c>
      <c r="BK65" s="628">
        <f t="shared" si="18"/>
        <v>0</v>
      </c>
    </row>
    <row r="66" spans="1:63">
      <c r="A66" s="196">
        <v>59</v>
      </c>
      <c r="B66" s="73" t="s">
        <v>229</v>
      </c>
      <c r="C66" s="139" t="s">
        <v>230</v>
      </c>
      <c r="D66" s="168">
        <v>0</v>
      </c>
      <c r="E66" s="170">
        <v>25597.329999999998</v>
      </c>
      <c r="F66" s="171">
        <f t="shared" si="19"/>
        <v>25597.329999999998</v>
      </c>
      <c r="G66" s="181">
        <v>24649.9</v>
      </c>
      <c r="H66" s="178">
        <v>947.42999999999665</v>
      </c>
      <c r="I66" s="170">
        <v>38396.990000000005</v>
      </c>
      <c r="J66" s="171">
        <f t="shared" si="20"/>
        <v>39344.42</v>
      </c>
      <c r="K66" s="202">
        <v>25165.27</v>
      </c>
      <c r="L66" s="171">
        <v>14179.149999999998</v>
      </c>
      <c r="M66" s="197">
        <v>38147.25</v>
      </c>
      <c r="N66" s="171">
        <f t="shared" si="21"/>
        <v>52326.399999999994</v>
      </c>
      <c r="O66" s="202">
        <v>36733.4</v>
      </c>
      <c r="P66" s="238">
        <v>15592.999999999993</v>
      </c>
      <c r="Q66" s="197">
        <v>39625.21</v>
      </c>
      <c r="R66" s="171">
        <f t="shared" si="22"/>
        <v>55218.209999999992</v>
      </c>
      <c r="S66" s="202">
        <v>38333.199999999997</v>
      </c>
      <c r="T66" s="238">
        <v>16885.009999999995</v>
      </c>
      <c r="U66" s="238">
        <v>40961.960000000006</v>
      </c>
      <c r="V66" s="171">
        <f t="shared" si="23"/>
        <v>57846.97</v>
      </c>
      <c r="W66" s="56">
        <v>51409.460000000006</v>
      </c>
      <c r="X66" s="568">
        <f t="shared" si="9"/>
        <v>6437.5099999999948</v>
      </c>
      <c r="Y66" s="569">
        <v>43088.84</v>
      </c>
      <c r="Z66" s="171">
        <f t="shared" si="24"/>
        <v>49526.349999999991</v>
      </c>
      <c r="AA66" s="48">
        <v>52464.28</v>
      </c>
      <c r="AB66" s="238">
        <f t="shared" si="11"/>
        <v>0</v>
      </c>
      <c r="AC66" s="238">
        <v>42203.499999999993</v>
      </c>
      <c r="AD66" s="171">
        <f t="shared" si="25"/>
        <v>42203.499999999993</v>
      </c>
      <c r="AE66" s="238"/>
      <c r="AF66" s="238">
        <f t="shared" si="13"/>
        <v>0</v>
      </c>
      <c r="AG66" s="196">
        <v>59</v>
      </c>
      <c r="AH66" s="73" t="s">
        <v>229</v>
      </c>
      <c r="AI66" s="139" t="s">
        <v>230</v>
      </c>
      <c r="AJ66" s="238">
        <f t="shared" si="14"/>
        <v>0</v>
      </c>
      <c r="AK66" s="238"/>
      <c r="AL66" s="358" t="s">
        <v>229</v>
      </c>
      <c r="AM66" s="48">
        <v>52464.28</v>
      </c>
      <c r="AN66" s="238" t="s">
        <v>229</v>
      </c>
      <c r="AO66" s="238">
        <v>42203.499999999993</v>
      </c>
      <c r="AQ66" s="472">
        <f t="shared" si="15"/>
        <v>0</v>
      </c>
      <c r="AS66" t="s">
        <v>229</v>
      </c>
      <c r="AT66" t="s">
        <v>1694</v>
      </c>
      <c r="AU66" s="48">
        <v>35289.839999999997</v>
      </c>
      <c r="AV66" s="48">
        <v>2138.88</v>
      </c>
      <c r="AW66" s="48">
        <v>1090.29</v>
      </c>
      <c r="AX66" s="48">
        <v>0</v>
      </c>
      <c r="AY66" s="48">
        <v>0</v>
      </c>
      <c r="AZ66" s="48">
        <v>1919.21</v>
      </c>
      <c r="BA66" s="48">
        <v>1592.13</v>
      </c>
      <c r="BB66" s="48">
        <v>22.44</v>
      </c>
      <c r="BC66" s="48">
        <v>150.71</v>
      </c>
      <c r="BD66" s="48">
        <v>0</v>
      </c>
      <c r="BE66" s="48"/>
      <c r="BF66" s="48">
        <f t="shared" si="3"/>
        <v>42203.499999999993</v>
      </c>
      <c r="BG66" s="48"/>
      <c r="BH66" s="48"/>
      <c r="BI66" s="48" t="str">
        <f t="shared" si="16"/>
        <v>07002</v>
      </c>
      <c r="BJ66" s="48">
        <f t="shared" si="17"/>
        <v>42203.499999999993</v>
      </c>
      <c r="BK66" s="628">
        <f t="shared" si="18"/>
        <v>0</v>
      </c>
    </row>
    <row r="67" spans="1:63">
      <c r="A67" s="196">
        <v>60</v>
      </c>
      <c r="B67" s="73" t="s">
        <v>614</v>
      </c>
      <c r="C67" s="139" t="s">
        <v>615</v>
      </c>
      <c r="D67" s="168">
        <v>18066.010000000002</v>
      </c>
      <c r="E67" s="170">
        <v>129530.28</v>
      </c>
      <c r="F67" s="171">
        <f t="shared" si="19"/>
        <v>147596.29</v>
      </c>
      <c r="G67" s="181">
        <v>92465.66</v>
      </c>
      <c r="H67" s="178">
        <v>55130.630000000005</v>
      </c>
      <c r="I67" s="170">
        <v>178818.81</v>
      </c>
      <c r="J67" s="171">
        <f t="shared" si="20"/>
        <v>233949.44</v>
      </c>
      <c r="K67" s="202">
        <v>216407.81000000003</v>
      </c>
      <c r="L67" s="171">
        <v>17541.629999999976</v>
      </c>
      <c r="M67" s="197">
        <v>182098.92</v>
      </c>
      <c r="N67" s="171">
        <f t="shared" si="21"/>
        <v>199640.55</v>
      </c>
      <c r="O67" s="202">
        <v>133753.06</v>
      </c>
      <c r="P67" s="238">
        <v>65887.489999999991</v>
      </c>
      <c r="Q67" s="197">
        <v>207463.96000000002</v>
      </c>
      <c r="R67" s="171">
        <f t="shared" si="22"/>
        <v>273351.45</v>
      </c>
      <c r="S67" s="202">
        <v>161374.03</v>
      </c>
      <c r="T67" s="238">
        <v>111977.42000000001</v>
      </c>
      <c r="U67" s="238">
        <v>214801.3</v>
      </c>
      <c r="V67" s="171">
        <f t="shared" si="23"/>
        <v>326778.71999999997</v>
      </c>
      <c r="W67" s="56">
        <v>163144.35000000006</v>
      </c>
      <c r="X67" s="568">
        <f t="shared" si="9"/>
        <v>163634.36999999991</v>
      </c>
      <c r="Y67" s="569">
        <v>227686.83</v>
      </c>
      <c r="Z67" s="171">
        <f t="shared" si="24"/>
        <v>391321.1999999999</v>
      </c>
      <c r="AA67" s="48">
        <v>261383.19</v>
      </c>
      <c r="AB67" s="238">
        <f t="shared" si="11"/>
        <v>129938.00999999989</v>
      </c>
      <c r="AC67" s="238">
        <v>229413.87999999998</v>
      </c>
      <c r="AD67" s="171">
        <f t="shared" si="25"/>
        <v>359351.8899999999</v>
      </c>
      <c r="AE67" s="238"/>
      <c r="AF67" s="238">
        <f t="shared" si="13"/>
        <v>0</v>
      </c>
      <c r="AG67" s="196">
        <v>60</v>
      </c>
      <c r="AH67" s="73" t="s">
        <v>614</v>
      </c>
      <c r="AI67" s="139" t="s">
        <v>615</v>
      </c>
      <c r="AJ67" s="238">
        <f t="shared" si="14"/>
        <v>0</v>
      </c>
      <c r="AK67" s="238"/>
      <c r="AL67" s="358" t="s">
        <v>614</v>
      </c>
      <c r="AM67" s="48">
        <v>261383.19</v>
      </c>
      <c r="AN67" s="238" t="s">
        <v>614</v>
      </c>
      <c r="AO67" s="238">
        <v>229413.87999999998</v>
      </c>
      <c r="AQ67" s="472">
        <f t="shared" si="15"/>
        <v>0</v>
      </c>
      <c r="AS67" t="s">
        <v>614</v>
      </c>
      <c r="AT67" t="s">
        <v>1890</v>
      </c>
      <c r="AU67" s="48">
        <v>158013.70000000001</v>
      </c>
      <c r="AV67" s="48">
        <v>8473.11</v>
      </c>
      <c r="AW67" s="48">
        <v>0</v>
      </c>
      <c r="AX67" s="48">
        <v>0</v>
      </c>
      <c r="AY67" s="48">
        <v>40979.620000000003</v>
      </c>
      <c r="AZ67" s="48">
        <v>13400.34</v>
      </c>
      <c r="BA67" s="48">
        <v>6658.55</v>
      </c>
      <c r="BB67" s="48">
        <v>724.59</v>
      </c>
      <c r="BC67" s="48">
        <v>1163.97</v>
      </c>
      <c r="BD67" s="48">
        <v>0</v>
      </c>
      <c r="BE67" s="48"/>
      <c r="BF67" s="48">
        <f t="shared" si="3"/>
        <v>229413.87999999998</v>
      </c>
      <c r="BG67" s="48"/>
      <c r="BH67" s="48"/>
      <c r="BI67" s="48" t="str">
        <f t="shared" si="16"/>
        <v>32414</v>
      </c>
      <c r="BJ67" s="48">
        <f t="shared" si="17"/>
        <v>229413.87999999998</v>
      </c>
      <c r="BK67" s="628">
        <f t="shared" si="18"/>
        <v>0</v>
      </c>
    </row>
    <row r="68" spans="1:63">
      <c r="A68" s="196">
        <v>61</v>
      </c>
      <c r="B68" s="73" t="s">
        <v>517</v>
      </c>
      <c r="C68" s="139" t="s">
        <v>518</v>
      </c>
      <c r="D68" s="168">
        <v>50242.570000000007</v>
      </c>
      <c r="E68" s="170">
        <v>108904.68000000001</v>
      </c>
      <c r="F68" s="171">
        <f t="shared" si="19"/>
        <v>159147.25</v>
      </c>
      <c r="G68" s="181">
        <v>108964.28</v>
      </c>
      <c r="H68" s="178">
        <v>50182.97</v>
      </c>
      <c r="I68" s="170">
        <v>143940.99</v>
      </c>
      <c r="J68" s="171">
        <f t="shared" si="20"/>
        <v>194123.96</v>
      </c>
      <c r="K68" s="202">
        <v>139972.45000000001</v>
      </c>
      <c r="L68" s="171">
        <v>54151.50999999998</v>
      </c>
      <c r="M68" s="197">
        <v>146618.51999999999</v>
      </c>
      <c r="N68" s="171">
        <f t="shared" si="21"/>
        <v>200770.02999999997</v>
      </c>
      <c r="O68" s="202">
        <v>157425.60999999999</v>
      </c>
      <c r="P68" s="238">
        <v>43344.419999999984</v>
      </c>
      <c r="Q68" s="197">
        <v>164257.54999999999</v>
      </c>
      <c r="R68" s="171">
        <f t="shared" si="22"/>
        <v>207601.96999999997</v>
      </c>
      <c r="S68" s="202">
        <v>207601.97</v>
      </c>
      <c r="T68" s="238">
        <v>0</v>
      </c>
      <c r="U68" s="238">
        <v>168551.69999999998</v>
      </c>
      <c r="V68" s="171">
        <f t="shared" si="23"/>
        <v>168551.69999999998</v>
      </c>
      <c r="W68" s="56">
        <v>225008.47000000003</v>
      </c>
      <c r="X68" s="568">
        <f t="shared" si="9"/>
        <v>0</v>
      </c>
      <c r="Y68" s="569">
        <v>182130.29</v>
      </c>
      <c r="Z68" s="171">
        <f t="shared" si="24"/>
        <v>182130.29</v>
      </c>
      <c r="AA68" s="48">
        <v>211025.46999999997</v>
      </c>
      <c r="AB68" s="238">
        <f t="shared" si="11"/>
        <v>0</v>
      </c>
      <c r="AC68" s="238">
        <v>181862.93000000002</v>
      </c>
      <c r="AD68" s="171">
        <f t="shared" si="25"/>
        <v>181862.93000000002</v>
      </c>
      <c r="AE68" s="238"/>
      <c r="AF68" s="238">
        <f t="shared" si="13"/>
        <v>0</v>
      </c>
      <c r="AG68" s="196">
        <v>61</v>
      </c>
      <c r="AH68" s="73" t="s">
        <v>517</v>
      </c>
      <c r="AI68" s="139" t="s">
        <v>518</v>
      </c>
      <c r="AJ68" s="238">
        <f t="shared" si="14"/>
        <v>0</v>
      </c>
      <c r="AK68" s="238"/>
      <c r="AL68" s="358" t="s">
        <v>517</v>
      </c>
      <c r="AM68" s="48">
        <v>211025.46999999997</v>
      </c>
      <c r="AN68" s="238" t="s">
        <v>517</v>
      </c>
      <c r="AO68" s="238">
        <v>181862.93000000002</v>
      </c>
      <c r="AQ68" s="472">
        <f t="shared" si="15"/>
        <v>0</v>
      </c>
      <c r="AS68" t="s">
        <v>517</v>
      </c>
      <c r="AT68" t="s">
        <v>1840</v>
      </c>
      <c r="AU68" s="48">
        <v>140518.39000000001</v>
      </c>
      <c r="AV68" s="48">
        <v>0</v>
      </c>
      <c r="AW68" s="48">
        <v>8766.52</v>
      </c>
      <c r="AX68" s="48">
        <v>0</v>
      </c>
      <c r="AY68" s="48">
        <v>22303.919999999998</v>
      </c>
      <c r="AZ68" s="48">
        <v>3625</v>
      </c>
      <c r="BA68" s="48">
        <v>0</v>
      </c>
      <c r="BB68" s="48">
        <v>3549.89</v>
      </c>
      <c r="BC68" s="48">
        <v>724.28</v>
      </c>
      <c r="BD68" s="48">
        <v>2374.9299999999998</v>
      </c>
      <c r="BE68" s="48"/>
      <c r="BF68" s="48">
        <f t="shared" si="3"/>
        <v>181862.93000000002</v>
      </c>
      <c r="BG68" s="48"/>
      <c r="BH68" s="48"/>
      <c r="BI68" s="48" t="str">
        <f t="shared" si="16"/>
        <v>27343</v>
      </c>
      <c r="BJ68" s="48">
        <f t="shared" si="17"/>
        <v>181862.93000000002</v>
      </c>
      <c r="BK68" s="628">
        <f t="shared" si="18"/>
        <v>0</v>
      </c>
    </row>
    <row r="69" spans="1:63">
      <c r="A69" s="196">
        <v>62</v>
      </c>
      <c r="B69" s="73" t="s">
        <v>658</v>
      </c>
      <c r="C69" s="139" t="s">
        <v>659</v>
      </c>
      <c r="D69" s="168">
        <v>68.2199999999998</v>
      </c>
      <c r="E69" s="170">
        <v>2121.89</v>
      </c>
      <c r="F69" s="171">
        <f t="shared" si="19"/>
        <v>2190.1099999999997</v>
      </c>
      <c r="G69" s="181">
        <v>2000.82</v>
      </c>
      <c r="H69" s="178">
        <v>189.28999999999974</v>
      </c>
      <c r="I69" s="170">
        <v>4013.98</v>
      </c>
      <c r="J69" s="171">
        <f t="shared" si="20"/>
        <v>4203.2699999999995</v>
      </c>
      <c r="K69" s="202">
        <v>3836.08</v>
      </c>
      <c r="L69" s="171">
        <v>367.1899999999996</v>
      </c>
      <c r="M69" s="197">
        <v>3704.07</v>
      </c>
      <c r="N69" s="171">
        <f t="shared" si="21"/>
        <v>4071.2599999999998</v>
      </c>
      <c r="O69" s="202">
        <v>3332.4</v>
      </c>
      <c r="P69" s="238">
        <v>738.85999999999967</v>
      </c>
      <c r="Q69" s="197">
        <v>3682.1000000000004</v>
      </c>
      <c r="R69" s="171">
        <f t="shared" si="22"/>
        <v>4420.96</v>
      </c>
      <c r="S69" s="202">
        <v>0</v>
      </c>
      <c r="T69" s="238">
        <v>4420.96</v>
      </c>
      <c r="U69" s="238">
        <v>3871.34</v>
      </c>
      <c r="V69" s="171">
        <f t="shared" si="23"/>
        <v>8292.2999999999993</v>
      </c>
      <c r="W69" s="56"/>
      <c r="X69" s="568">
        <f t="shared" si="9"/>
        <v>8292.2999999999993</v>
      </c>
      <c r="Y69" s="569">
        <v>3710.0699999999997</v>
      </c>
      <c r="Z69" s="171">
        <f t="shared" si="24"/>
        <v>12002.369999999999</v>
      </c>
      <c r="AA69" s="48"/>
      <c r="AB69" s="238">
        <f t="shared" si="11"/>
        <v>12002.369999999999</v>
      </c>
      <c r="AC69" s="238">
        <v>3756.67</v>
      </c>
      <c r="AD69" s="171">
        <f t="shared" si="25"/>
        <v>15759.039999999999</v>
      </c>
      <c r="AE69" s="238"/>
      <c r="AF69" s="238">
        <f t="shared" si="13"/>
        <v>0</v>
      </c>
      <c r="AG69" s="196">
        <v>62</v>
      </c>
      <c r="AH69" s="73" t="s">
        <v>658</v>
      </c>
      <c r="AI69" s="139" t="s">
        <v>659</v>
      </c>
      <c r="AJ69" s="238">
        <f t="shared" si="14"/>
        <v>0</v>
      </c>
      <c r="AK69" s="238"/>
      <c r="AL69" s="73" t="s">
        <v>658</v>
      </c>
      <c r="AM69" s="48"/>
      <c r="AN69" s="238" t="s">
        <v>658</v>
      </c>
      <c r="AO69" s="238">
        <v>3756.67</v>
      </c>
      <c r="AQ69" s="472">
        <f t="shared" si="15"/>
        <v>0</v>
      </c>
      <c r="AS69" t="s">
        <v>658</v>
      </c>
      <c r="AT69" t="s">
        <v>1914</v>
      </c>
      <c r="AU69" s="48">
        <v>3543.42</v>
      </c>
      <c r="AV69" s="48">
        <v>0</v>
      </c>
      <c r="AW69" s="48">
        <v>0</v>
      </c>
      <c r="AX69" s="48">
        <v>0</v>
      </c>
      <c r="AY69" s="48">
        <v>0</v>
      </c>
      <c r="AZ69" s="48">
        <v>145.91</v>
      </c>
      <c r="BA69" s="48">
        <v>67.34</v>
      </c>
      <c r="BB69" s="48">
        <v>0</v>
      </c>
      <c r="BC69" s="48">
        <v>0</v>
      </c>
      <c r="BD69" s="48">
        <v>0</v>
      </c>
      <c r="BE69" s="48"/>
      <c r="BF69" s="48">
        <f t="shared" si="3"/>
        <v>3756.67</v>
      </c>
      <c r="BG69" s="48"/>
      <c r="BH69" s="48"/>
      <c r="BI69" s="48" t="str">
        <f t="shared" si="16"/>
        <v>36101</v>
      </c>
      <c r="BJ69" s="48">
        <f t="shared" si="17"/>
        <v>3756.67</v>
      </c>
      <c r="BK69" s="628">
        <f t="shared" si="18"/>
        <v>0</v>
      </c>
    </row>
    <row r="70" spans="1:63">
      <c r="A70" s="196">
        <v>63</v>
      </c>
      <c r="B70" s="73" t="s">
        <v>610</v>
      </c>
      <c r="C70" s="139" t="s">
        <v>802</v>
      </c>
      <c r="D70" s="168">
        <v>18394.209999999992</v>
      </c>
      <c r="E70" s="170">
        <v>249792.84000000003</v>
      </c>
      <c r="F70" s="171">
        <f t="shared" si="19"/>
        <v>268187.05000000005</v>
      </c>
      <c r="G70" s="181">
        <v>266703.15999999997</v>
      </c>
      <c r="H70" s="178">
        <v>1483.8900000000722</v>
      </c>
      <c r="I70" s="170">
        <v>315777.56</v>
      </c>
      <c r="J70" s="171">
        <f t="shared" si="20"/>
        <v>317261.45000000007</v>
      </c>
      <c r="K70" s="202">
        <v>316914.93</v>
      </c>
      <c r="L70" s="171">
        <v>346.52000000007683</v>
      </c>
      <c r="M70" s="197">
        <v>324479.31</v>
      </c>
      <c r="N70" s="171">
        <f t="shared" si="21"/>
        <v>324825.83000000007</v>
      </c>
      <c r="O70" s="202">
        <v>418581.70000000007</v>
      </c>
      <c r="P70" s="238">
        <v>0</v>
      </c>
      <c r="Q70" s="197">
        <v>354027.85</v>
      </c>
      <c r="R70" s="171">
        <f t="shared" si="22"/>
        <v>354027.85</v>
      </c>
      <c r="S70" s="202">
        <v>426458.01999999996</v>
      </c>
      <c r="T70" s="238">
        <v>0</v>
      </c>
      <c r="U70" s="238">
        <v>371879.83999999997</v>
      </c>
      <c r="V70" s="171">
        <f t="shared" si="23"/>
        <v>371879.83999999997</v>
      </c>
      <c r="W70" s="56">
        <v>393644.99000000011</v>
      </c>
      <c r="X70" s="568">
        <f t="shared" si="9"/>
        <v>0</v>
      </c>
      <c r="Y70" s="569">
        <v>390000.44000000006</v>
      </c>
      <c r="Z70" s="171">
        <f t="shared" si="24"/>
        <v>390000.44000000006</v>
      </c>
      <c r="AA70" s="48">
        <v>442219.34</v>
      </c>
      <c r="AB70" s="238">
        <f t="shared" si="11"/>
        <v>0</v>
      </c>
      <c r="AC70" s="238">
        <v>383056.94999999995</v>
      </c>
      <c r="AD70" s="171">
        <f t="shared" si="25"/>
        <v>383056.94999999995</v>
      </c>
      <c r="AE70" s="238"/>
      <c r="AF70" s="238">
        <f t="shared" si="13"/>
        <v>0</v>
      </c>
      <c r="AG70" s="196">
        <v>63</v>
      </c>
      <c r="AH70" s="73" t="s">
        <v>610</v>
      </c>
      <c r="AI70" s="139" t="s">
        <v>802</v>
      </c>
      <c r="AJ70" s="238">
        <f t="shared" si="14"/>
        <v>0</v>
      </c>
      <c r="AK70" s="238"/>
      <c r="AL70" s="358" t="s">
        <v>610</v>
      </c>
      <c r="AM70" s="48">
        <v>442219.34</v>
      </c>
      <c r="AN70" s="238" t="s">
        <v>610</v>
      </c>
      <c r="AO70" s="238">
        <v>383056.94999999995</v>
      </c>
      <c r="AQ70" s="472">
        <f t="shared" si="15"/>
        <v>0</v>
      </c>
      <c r="AS70" t="s">
        <v>610</v>
      </c>
      <c r="AT70" t="s">
        <v>1887</v>
      </c>
      <c r="AU70" s="48">
        <v>261452.66</v>
      </c>
      <c r="AV70" s="48">
        <v>17372.349999999999</v>
      </c>
      <c r="AW70" s="48">
        <v>2416.2600000000002</v>
      </c>
      <c r="AX70" s="48">
        <v>0</v>
      </c>
      <c r="AY70" s="48">
        <v>62607.25</v>
      </c>
      <c r="AZ70" s="48">
        <v>19020.599999999999</v>
      </c>
      <c r="BA70" s="48">
        <v>13121.85</v>
      </c>
      <c r="BB70" s="48">
        <v>5529.97</v>
      </c>
      <c r="BC70" s="48">
        <v>1536.01</v>
      </c>
      <c r="BD70" s="48">
        <v>0</v>
      </c>
      <c r="BE70" s="48"/>
      <c r="BF70" s="48">
        <f t="shared" si="3"/>
        <v>383056.94999999995</v>
      </c>
      <c r="BG70" s="48"/>
      <c r="BH70" s="48"/>
      <c r="BI70" s="48" t="str">
        <f t="shared" si="16"/>
        <v>32361</v>
      </c>
      <c r="BJ70" s="48">
        <f t="shared" si="17"/>
        <v>383056.94999999995</v>
      </c>
      <c r="BK70" s="628">
        <f t="shared" si="18"/>
        <v>0</v>
      </c>
    </row>
    <row r="71" spans="1:63">
      <c r="A71" s="196">
        <v>64</v>
      </c>
      <c r="B71" s="73" t="s">
        <v>717</v>
      </c>
      <c r="C71" s="139" t="s">
        <v>807</v>
      </c>
      <c r="D71" s="168">
        <v>0</v>
      </c>
      <c r="E71" s="170">
        <v>209237.50999999995</v>
      </c>
      <c r="F71" s="171">
        <f t="shared" si="19"/>
        <v>209237.50999999995</v>
      </c>
      <c r="G71" s="181">
        <v>179658.9</v>
      </c>
      <c r="H71" s="178">
        <v>29578.609999999957</v>
      </c>
      <c r="I71" s="170">
        <v>299349.55</v>
      </c>
      <c r="J71" s="171">
        <f t="shared" si="20"/>
        <v>328928.15999999992</v>
      </c>
      <c r="K71" s="202">
        <v>299198.38000000006</v>
      </c>
      <c r="L71" s="171">
        <v>29729.779999999853</v>
      </c>
      <c r="M71" s="197">
        <v>315312.09999999998</v>
      </c>
      <c r="N71" s="171">
        <f t="shared" si="21"/>
        <v>345041.87999999983</v>
      </c>
      <c r="O71" s="202">
        <v>296746.21000000002</v>
      </c>
      <c r="P71" s="238">
        <v>48295.669999999809</v>
      </c>
      <c r="Q71" s="197">
        <v>345469.72000000003</v>
      </c>
      <c r="R71" s="171">
        <f t="shared" si="22"/>
        <v>393765.38999999984</v>
      </c>
      <c r="S71" s="202">
        <v>277286.02000000008</v>
      </c>
      <c r="T71" s="238">
        <v>116479.36999999976</v>
      </c>
      <c r="U71" s="238">
        <v>354039.73</v>
      </c>
      <c r="V71" s="171">
        <f t="shared" si="23"/>
        <v>470519.09999999974</v>
      </c>
      <c r="W71" s="56">
        <v>390727.62</v>
      </c>
      <c r="X71" s="568">
        <f t="shared" si="9"/>
        <v>79791.479999999749</v>
      </c>
      <c r="Y71" s="569">
        <v>378955.55</v>
      </c>
      <c r="Z71" s="171">
        <f t="shared" si="24"/>
        <v>458747.02999999974</v>
      </c>
      <c r="AA71" s="48">
        <v>440043.10000000003</v>
      </c>
      <c r="AB71" s="238">
        <f t="shared" si="11"/>
        <v>18703.929999999702</v>
      </c>
      <c r="AC71" s="238">
        <v>380801.60000000003</v>
      </c>
      <c r="AD71" s="171">
        <f t="shared" si="25"/>
        <v>399505.52999999974</v>
      </c>
      <c r="AE71" s="238"/>
      <c r="AF71" s="238">
        <f t="shared" si="13"/>
        <v>0</v>
      </c>
      <c r="AG71" s="196">
        <v>64</v>
      </c>
      <c r="AH71" s="73" t="s">
        <v>717</v>
      </c>
      <c r="AI71" s="139" t="s">
        <v>807</v>
      </c>
      <c r="AJ71" s="238">
        <f t="shared" si="14"/>
        <v>0</v>
      </c>
      <c r="AK71" s="238"/>
      <c r="AL71" s="358" t="s">
        <v>717</v>
      </c>
      <c r="AM71" s="48">
        <v>440043.10000000003</v>
      </c>
      <c r="AN71" s="238" t="s">
        <v>717</v>
      </c>
      <c r="AO71" s="238">
        <v>380801.60000000003</v>
      </c>
      <c r="AQ71" s="472">
        <f t="shared" si="15"/>
        <v>0</v>
      </c>
      <c r="AS71" t="s">
        <v>717</v>
      </c>
      <c r="AT71" t="s">
        <v>1945</v>
      </c>
      <c r="AU71" s="48">
        <v>242240.71</v>
      </c>
      <c r="AV71" s="48">
        <v>21753.21</v>
      </c>
      <c r="AW71" s="48">
        <v>9687.9599999999991</v>
      </c>
      <c r="AX71" s="48">
        <v>0</v>
      </c>
      <c r="AY71" s="48">
        <v>47877.32</v>
      </c>
      <c r="AZ71" s="48">
        <v>20046.55</v>
      </c>
      <c r="BA71" s="48">
        <v>15190.24</v>
      </c>
      <c r="BB71" s="48">
        <v>11499.44</v>
      </c>
      <c r="BC71" s="48">
        <v>1433.77</v>
      </c>
      <c r="BD71" s="48">
        <v>11072.4</v>
      </c>
      <c r="BE71" s="48"/>
      <c r="BF71" s="48">
        <f t="shared" ref="BF71:BF134" si="26">SUM(AU71:BE71)</f>
        <v>380801.60000000003</v>
      </c>
      <c r="BG71" s="48"/>
      <c r="BH71" s="48"/>
      <c r="BI71" s="48" t="str">
        <f t="shared" si="16"/>
        <v>39090</v>
      </c>
      <c r="BJ71" s="48">
        <f t="shared" si="17"/>
        <v>380801.60000000003</v>
      </c>
      <c r="BK71" s="628">
        <f t="shared" si="18"/>
        <v>0</v>
      </c>
    </row>
    <row r="72" spans="1:63">
      <c r="A72" s="196">
        <v>65</v>
      </c>
      <c r="B72" s="73" t="s">
        <v>251</v>
      </c>
      <c r="C72" s="139" t="s">
        <v>252</v>
      </c>
      <c r="D72" s="168">
        <v>5391.5899999999674</v>
      </c>
      <c r="E72" s="170">
        <v>387248.47</v>
      </c>
      <c r="F72" s="171">
        <f t="shared" ref="F72:F87" si="27">+D72+E72</f>
        <v>392640.05999999994</v>
      </c>
      <c r="G72" s="181">
        <v>497864.82</v>
      </c>
      <c r="H72" s="178">
        <v>0</v>
      </c>
      <c r="I72" s="170">
        <v>533307.26</v>
      </c>
      <c r="J72" s="171">
        <f t="shared" ref="J72:J87" si="28">+H72+I72</f>
        <v>533307.26</v>
      </c>
      <c r="K72" s="202">
        <v>572063.48000000021</v>
      </c>
      <c r="L72" s="171">
        <v>0</v>
      </c>
      <c r="M72" s="197">
        <v>544146.74</v>
      </c>
      <c r="N72" s="171">
        <f t="shared" ref="N72:N103" si="29">+L72+M72</f>
        <v>544146.74</v>
      </c>
      <c r="O72" s="202">
        <v>555141.57999999996</v>
      </c>
      <c r="P72" s="238">
        <v>0</v>
      </c>
      <c r="Q72" s="197">
        <v>591453.89999999991</v>
      </c>
      <c r="R72" s="171">
        <f t="shared" ref="R72:R103" si="30">+P72+Q72</f>
        <v>591453.89999999991</v>
      </c>
      <c r="S72" s="202">
        <v>611458.42000000004</v>
      </c>
      <c r="T72" s="238">
        <v>0</v>
      </c>
      <c r="U72" s="238">
        <v>622533.87000000011</v>
      </c>
      <c r="V72" s="171">
        <f t="shared" ref="V72:V103" si="31">+T72+U72</f>
        <v>622533.87000000011</v>
      </c>
      <c r="W72" s="56">
        <v>673366.95000000019</v>
      </c>
      <c r="X72" s="568">
        <f t="shared" ref="X72:X135" si="32">IF(+V72-W72&lt;0,0,(+V72-W72))</f>
        <v>0</v>
      </c>
      <c r="Y72" s="569">
        <v>660542.49999999988</v>
      </c>
      <c r="Z72" s="171">
        <f t="shared" ref="Z72:Z103" si="33">+X72+Y72</f>
        <v>660542.49999999988</v>
      </c>
      <c r="AA72" s="48">
        <v>778748.67999999959</v>
      </c>
      <c r="AB72" s="238">
        <f t="shared" ref="AB72:AB135" si="34">IF(+Z72-AA72&lt;0,0,(+Z72-AA72))</f>
        <v>0</v>
      </c>
      <c r="AC72" s="238">
        <v>646580.03</v>
      </c>
      <c r="AD72" s="171">
        <f t="shared" ref="AD72:AD103" si="35">+AB72+AC72</f>
        <v>646580.03</v>
      </c>
      <c r="AE72" s="238"/>
      <c r="AF72" s="238">
        <f t="shared" ref="AF72:AF135" si="36">+AH72-B72</f>
        <v>0</v>
      </c>
      <c r="AG72" s="196">
        <v>65</v>
      </c>
      <c r="AH72" s="73" t="s">
        <v>251</v>
      </c>
      <c r="AI72" s="139" t="s">
        <v>252</v>
      </c>
      <c r="AJ72" s="238">
        <f t="shared" ref="AJ72:AJ135" si="37">+AL72-B72</f>
        <v>0</v>
      </c>
      <c r="AK72" s="238"/>
      <c r="AL72" s="358" t="s">
        <v>251</v>
      </c>
      <c r="AM72" s="48">
        <v>778748.67999999959</v>
      </c>
      <c r="AN72" s="238" t="s">
        <v>251</v>
      </c>
      <c r="AO72" s="238">
        <v>646580.03</v>
      </c>
      <c r="AQ72" s="472">
        <f t="shared" ref="AQ72:AQ135" si="38">+AS72-B72</f>
        <v>0</v>
      </c>
      <c r="AS72" t="s">
        <v>251</v>
      </c>
      <c r="AT72" t="s">
        <v>1705</v>
      </c>
      <c r="AU72" s="48">
        <v>429816.26</v>
      </c>
      <c r="AV72" s="48">
        <v>35084.18</v>
      </c>
      <c r="AW72" s="48">
        <v>10750.18</v>
      </c>
      <c r="AX72" s="48">
        <v>0</v>
      </c>
      <c r="AY72" s="48">
        <v>71370.33</v>
      </c>
      <c r="AZ72" s="48">
        <v>33544.03</v>
      </c>
      <c r="BA72" s="48">
        <v>26307.35</v>
      </c>
      <c r="BB72" s="48">
        <v>29193.39</v>
      </c>
      <c r="BC72" s="48">
        <v>2539.16</v>
      </c>
      <c r="BD72" s="48">
        <v>7975.15</v>
      </c>
      <c r="BE72" s="48"/>
      <c r="BF72" s="48">
        <f t="shared" si="26"/>
        <v>646580.03</v>
      </c>
      <c r="BG72" s="48"/>
      <c r="BH72" s="48"/>
      <c r="BI72" s="48" t="str">
        <f t="shared" ref="BI72:BI135" si="39">TEXT(AS72, "00000")</f>
        <v>09206</v>
      </c>
      <c r="BJ72" s="48">
        <f t="shared" ref="BJ72:BJ135" si="40">BF72</f>
        <v>646580.03</v>
      </c>
      <c r="BK72" s="628">
        <f t="shared" ref="BK72:BK135" si="41">+BI72-B72</f>
        <v>0</v>
      </c>
    </row>
    <row r="73" spans="1:63">
      <c r="A73" s="196">
        <v>66</v>
      </c>
      <c r="B73" s="73" t="s">
        <v>386</v>
      </c>
      <c r="C73" s="139" t="s">
        <v>387</v>
      </c>
      <c r="D73" s="168">
        <v>2286.1000000000004</v>
      </c>
      <c r="E73" s="170">
        <v>13067.74</v>
      </c>
      <c r="F73" s="171">
        <f t="shared" si="27"/>
        <v>15353.84</v>
      </c>
      <c r="G73" s="181">
        <v>12684.06</v>
      </c>
      <c r="H73" s="178">
        <v>2669.7800000000007</v>
      </c>
      <c r="I73" s="170">
        <v>19633.84</v>
      </c>
      <c r="J73" s="171">
        <f t="shared" si="28"/>
        <v>22303.620000000003</v>
      </c>
      <c r="K73" s="202">
        <v>12301.02</v>
      </c>
      <c r="L73" s="171">
        <v>10002.600000000002</v>
      </c>
      <c r="M73" s="197">
        <v>19771.849999999999</v>
      </c>
      <c r="N73" s="171">
        <f t="shared" si="29"/>
        <v>29774.45</v>
      </c>
      <c r="O73" s="202">
        <v>5567.92</v>
      </c>
      <c r="P73" s="238">
        <v>24206.53</v>
      </c>
      <c r="Q73" s="197">
        <v>21056.86</v>
      </c>
      <c r="R73" s="171">
        <f t="shared" si="30"/>
        <v>45263.39</v>
      </c>
      <c r="S73" s="202">
        <v>11425.539999999999</v>
      </c>
      <c r="T73" s="238">
        <v>33837.85</v>
      </c>
      <c r="U73" s="238">
        <v>23173.75</v>
      </c>
      <c r="V73" s="171">
        <f t="shared" si="31"/>
        <v>57011.6</v>
      </c>
      <c r="W73" s="56">
        <v>10024.86</v>
      </c>
      <c r="X73" s="568">
        <f t="shared" si="32"/>
        <v>46986.74</v>
      </c>
      <c r="Y73" s="569">
        <v>24627.439999999995</v>
      </c>
      <c r="Z73" s="171">
        <f t="shared" si="33"/>
        <v>71614.179999999993</v>
      </c>
      <c r="AA73" s="48">
        <v>13999.169999999998</v>
      </c>
      <c r="AB73" s="238">
        <f t="shared" si="34"/>
        <v>57615.009999999995</v>
      </c>
      <c r="AC73" s="238">
        <v>24971.52</v>
      </c>
      <c r="AD73" s="171">
        <f t="shared" si="35"/>
        <v>82586.53</v>
      </c>
      <c r="AE73" s="238"/>
      <c r="AF73" s="238">
        <f t="shared" si="36"/>
        <v>0</v>
      </c>
      <c r="AG73" s="196">
        <v>66</v>
      </c>
      <c r="AH73" s="73" t="s">
        <v>386</v>
      </c>
      <c r="AI73" s="139" t="s">
        <v>387</v>
      </c>
      <c r="AJ73" s="238">
        <f t="shared" si="37"/>
        <v>0</v>
      </c>
      <c r="AK73" s="238"/>
      <c r="AL73" s="358" t="s">
        <v>386</v>
      </c>
      <c r="AM73" s="48">
        <v>13999.169999999998</v>
      </c>
      <c r="AN73" s="238" t="s">
        <v>386</v>
      </c>
      <c r="AO73" s="238">
        <v>24971.52</v>
      </c>
      <c r="AQ73" s="472">
        <f t="shared" si="38"/>
        <v>0</v>
      </c>
      <c r="AS73" t="s">
        <v>386</v>
      </c>
      <c r="AT73" t="s">
        <v>1776</v>
      </c>
      <c r="AU73" s="48">
        <v>21683.77</v>
      </c>
      <c r="AV73" s="48">
        <v>200.29</v>
      </c>
      <c r="AW73" s="48">
        <v>37.99</v>
      </c>
      <c r="AX73" s="48">
        <v>0</v>
      </c>
      <c r="AY73" s="48">
        <v>1906.41</v>
      </c>
      <c r="AZ73" s="48">
        <v>718.3</v>
      </c>
      <c r="BA73" s="48">
        <v>424.76</v>
      </c>
      <c r="BB73" s="48">
        <v>0</v>
      </c>
      <c r="BC73" s="48">
        <v>0</v>
      </c>
      <c r="BD73" s="48">
        <v>0</v>
      </c>
      <c r="BE73" s="48"/>
      <c r="BF73" s="48">
        <f t="shared" si="26"/>
        <v>24971.52</v>
      </c>
      <c r="BG73" s="48"/>
      <c r="BH73" s="48"/>
      <c r="BI73" s="48" t="str">
        <f t="shared" si="39"/>
        <v>19028</v>
      </c>
      <c r="BJ73" s="48">
        <f t="shared" si="40"/>
        <v>24971.52</v>
      </c>
      <c r="BK73" s="628">
        <f t="shared" si="41"/>
        <v>0</v>
      </c>
    </row>
    <row r="74" spans="1:63">
      <c r="A74" s="196">
        <v>67</v>
      </c>
      <c r="B74" s="73" t="s">
        <v>529</v>
      </c>
      <c r="C74" s="139" t="s">
        <v>530</v>
      </c>
      <c r="D74" s="168">
        <v>0</v>
      </c>
      <c r="E74" s="170">
        <v>111628.41</v>
      </c>
      <c r="F74" s="171">
        <f t="shared" si="27"/>
        <v>111628.41</v>
      </c>
      <c r="G74" s="181">
        <v>84500.97</v>
      </c>
      <c r="H74" s="178">
        <v>27127.440000000002</v>
      </c>
      <c r="I74" s="170">
        <v>147550.76999999999</v>
      </c>
      <c r="J74" s="171">
        <f t="shared" si="28"/>
        <v>174678.21</v>
      </c>
      <c r="K74" s="202">
        <v>178649.71999999997</v>
      </c>
      <c r="L74" s="171">
        <v>0</v>
      </c>
      <c r="M74" s="197">
        <v>158043.58000000002</v>
      </c>
      <c r="N74" s="171">
        <f t="shared" si="29"/>
        <v>158043.58000000002</v>
      </c>
      <c r="O74" s="202">
        <v>173640.13</v>
      </c>
      <c r="P74" s="238">
        <v>0</v>
      </c>
      <c r="Q74" s="197">
        <v>182508.17</v>
      </c>
      <c r="R74" s="171">
        <f t="shared" si="30"/>
        <v>182508.17</v>
      </c>
      <c r="S74" s="202">
        <v>207319.61000000002</v>
      </c>
      <c r="T74" s="238">
        <v>0</v>
      </c>
      <c r="U74" s="238">
        <v>187486.42999999996</v>
      </c>
      <c r="V74" s="171">
        <f t="shared" si="31"/>
        <v>187486.42999999996</v>
      </c>
      <c r="W74" s="56">
        <v>217470.85000000006</v>
      </c>
      <c r="X74" s="568">
        <f t="shared" si="32"/>
        <v>0</v>
      </c>
      <c r="Y74" s="569">
        <v>205770.52999999997</v>
      </c>
      <c r="Z74" s="171">
        <f t="shared" si="33"/>
        <v>205770.52999999997</v>
      </c>
      <c r="AA74" s="48">
        <v>165502.57</v>
      </c>
      <c r="AB74" s="238">
        <f t="shared" si="34"/>
        <v>40267.959999999963</v>
      </c>
      <c r="AC74" s="238">
        <v>204031.94999999995</v>
      </c>
      <c r="AD74" s="171">
        <f t="shared" si="35"/>
        <v>244299.90999999992</v>
      </c>
      <c r="AE74" s="238"/>
      <c r="AF74" s="238">
        <f t="shared" si="36"/>
        <v>0</v>
      </c>
      <c r="AG74" s="196">
        <v>67</v>
      </c>
      <c r="AH74" s="73" t="s">
        <v>529</v>
      </c>
      <c r="AI74" s="139" t="s">
        <v>530</v>
      </c>
      <c r="AJ74" s="238">
        <f t="shared" si="37"/>
        <v>0</v>
      </c>
      <c r="AK74" s="238"/>
      <c r="AL74" s="358" t="s">
        <v>529</v>
      </c>
      <c r="AM74" s="48">
        <v>165502.57</v>
      </c>
      <c r="AN74" s="238" t="s">
        <v>529</v>
      </c>
      <c r="AO74" s="238">
        <v>204031.94999999995</v>
      </c>
      <c r="AQ74" s="472">
        <f t="shared" si="38"/>
        <v>0</v>
      </c>
      <c r="AS74" t="s">
        <v>529</v>
      </c>
      <c r="AT74" t="s">
        <v>1846</v>
      </c>
      <c r="AU74" s="48">
        <v>142863.54</v>
      </c>
      <c r="AV74" s="48">
        <v>10390.969999999999</v>
      </c>
      <c r="AW74" s="48">
        <v>5864.58</v>
      </c>
      <c r="AX74" s="48">
        <v>0</v>
      </c>
      <c r="AY74" s="48">
        <v>28221.02</v>
      </c>
      <c r="AZ74" s="48">
        <v>8584.1200000000008</v>
      </c>
      <c r="BA74" s="48">
        <v>1009.8</v>
      </c>
      <c r="BB74" s="48">
        <v>667.55</v>
      </c>
      <c r="BC74" s="48">
        <v>854.09</v>
      </c>
      <c r="BD74" s="48">
        <v>5576.28</v>
      </c>
      <c r="BE74" s="48"/>
      <c r="BF74" s="48">
        <f t="shared" si="26"/>
        <v>204031.94999999995</v>
      </c>
      <c r="BG74" s="48"/>
      <c r="BH74" s="48"/>
      <c r="BI74" s="48" t="str">
        <f t="shared" si="39"/>
        <v>27404</v>
      </c>
      <c r="BJ74" s="48">
        <f t="shared" si="40"/>
        <v>204031.94999999995</v>
      </c>
      <c r="BK74" s="628">
        <f t="shared" si="41"/>
        <v>0</v>
      </c>
    </row>
    <row r="75" spans="1:63">
      <c r="A75" s="196">
        <v>68</v>
      </c>
      <c r="B75" s="73" t="s">
        <v>570</v>
      </c>
      <c r="C75" s="139" t="s">
        <v>571</v>
      </c>
      <c r="D75" s="168">
        <v>110028.19000000006</v>
      </c>
      <c r="E75" s="170">
        <v>1495761.0499999998</v>
      </c>
      <c r="F75" s="171">
        <f t="shared" si="27"/>
        <v>1605789.2399999998</v>
      </c>
      <c r="G75" s="181">
        <v>1251673.6000000001</v>
      </c>
      <c r="H75" s="178">
        <v>354115.63999999966</v>
      </c>
      <c r="I75" s="170">
        <v>2148434.23</v>
      </c>
      <c r="J75" s="171">
        <f t="shared" si="28"/>
        <v>2502549.8699999996</v>
      </c>
      <c r="K75" s="202">
        <v>2148434.23</v>
      </c>
      <c r="L75" s="171">
        <v>354115.63999999966</v>
      </c>
      <c r="M75" s="197">
        <v>2149894.5299999998</v>
      </c>
      <c r="N75" s="171">
        <f t="shared" si="29"/>
        <v>2504010.1699999995</v>
      </c>
      <c r="O75" s="202">
        <v>2148926.35</v>
      </c>
      <c r="P75" s="238">
        <v>355083.81999999937</v>
      </c>
      <c r="Q75" s="197">
        <v>2304116.17</v>
      </c>
      <c r="R75" s="171">
        <f t="shared" si="30"/>
        <v>2659199.9899999993</v>
      </c>
      <c r="S75" s="202">
        <v>2659200.0099999998</v>
      </c>
      <c r="T75" s="238">
        <v>0</v>
      </c>
      <c r="U75" s="238">
        <v>2412924.04</v>
      </c>
      <c r="V75" s="171">
        <f t="shared" si="31"/>
        <v>2412924.04</v>
      </c>
      <c r="W75" s="56">
        <v>2412924.04</v>
      </c>
      <c r="X75" s="568">
        <f t="shared" si="32"/>
        <v>0</v>
      </c>
      <c r="Y75" s="569">
        <v>2559362.1699999995</v>
      </c>
      <c r="Z75" s="171">
        <f t="shared" si="33"/>
        <v>2559362.1699999995</v>
      </c>
      <c r="AA75" s="48">
        <v>2559362.17</v>
      </c>
      <c r="AB75" s="238">
        <f t="shared" si="34"/>
        <v>0</v>
      </c>
      <c r="AC75" s="238">
        <v>2500577.9900000002</v>
      </c>
      <c r="AD75" s="171">
        <f t="shared" si="35"/>
        <v>2500577.9900000002</v>
      </c>
      <c r="AE75" s="238"/>
      <c r="AF75" s="238">
        <f t="shared" si="36"/>
        <v>0</v>
      </c>
      <c r="AG75" s="196">
        <v>68</v>
      </c>
      <c r="AH75" s="73" t="s">
        <v>570</v>
      </c>
      <c r="AI75" s="139" t="s">
        <v>571</v>
      </c>
      <c r="AJ75" s="238">
        <f t="shared" si="37"/>
        <v>0</v>
      </c>
      <c r="AK75" s="238"/>
      <c r="AL75" s="358" t="s">
        <v>570</v>
      </c>
      <c r="AM75" s="48">
        <v>2559362.17</v>
      </c>
      <c r="AN75" s="238" t="s">
        <v>570</v>
      </c>
      <c r="AO75" s="238">
        <v>2500577.9900000002</v>
      </c>
      <c r="AQ75" s="472">
        <f t="shared" si="38"/>
        <v>0</v>
      </c>
      <c r="AS75" t="s">
        <v>570</v>
      </c>
      <c r="AT75" t="s">
        <v>1867</v>
      </c>
      <c r="AU75" s="48">
        <v>1800466.11</v>
      </c>
      <c r="AV75" s="48">
        <v>95109.119999999995</v>
      </c>
      <c r="AW75" s="48">
        <v>10371.209999999999</v>
      </c>
      <c r="AX75" s="48">
        <v>0</v>
      </c>
      <c r="AY75" s="48">
        <v>346199.18</v>
      </c>
      <c r="AZ75" s="48">
        <v>97252.13</v>
      </c>
      <c r="BA75" s="48">
        <v>26056.27</v>
      </c>
      <c r="BB75" s="48">
        <v>114712.73</v>
      </c>
      <c r="BC75" s="48">
        <v>10411.24</v>
      </c>
      <c r="BD75" s="48">
        <v>0</v>
      </c>
      <c r="BE75" s="48"/>
      <c r="BF75" s="48">
        <f t="shared" si="26"/>
        <v>2500577.9900000002</v>
      </c>
      <c r="BG75" s="48"/>
      <c r="BH75" s="48"/>
      <c r="BI75" s="48" t="str">
        <f t="shared" si="39"/>
        <v>31015</v>
      </c>
      <c r="BJ75" s="48">
        <f t="shared" si="40"/>
        <v>2500577.9900000002</v>
      </c>
      <c r="BK75" s="628">
        <f t="shared" si="41"/>
        <v>0</v>
      </c>
    </row>
    <row r="76" spans="1:63">
      <c r="A76" s="196">
        <v>69</v>
      </c>
      <c r="B76" s="73" t="s">
        <v>390</v>
      </c>
      <c r="C76" s="139" t="s">
        <v>391</v>
      </c>
      <c r="D76" s="168">
        <v>0</v>
      </c>
      <c r="E76" s="170">
        <v>200581.93999999997</v>
      </c>
      <c r="F76" s="171">
        <f t="shared" si="27"/>
        <v>200581.93999999997</v>
      </c>
      <c r="G76" s="181">
        <v>223711.22</v>
      </c>
      <c r="H76" s="178">
        <v>0</v>
      </c>
      <c r="I76" s="170">
        <v>275833.46999999997</v>
      </c>
      <c r="J76" s="171">
        <f t="shared" si="28"/>
        <v>275833.46999999997</v>
      </c>
      <c r="K76" s="202">
        <v>247822.90000000005</v>
      </c>
      <c r="L76" s="171">
        <v>28010.56999999992</v>
      </c>
      <c r="M76" s="197">
        <v>288375.72000000003</v>
      </c>
      <c r="N76" s="171">
        <f t="shared" si="29"/>
        <v>316386.28999999992</v>
      </c>
      <c r="O76" s="202">
        <v>280499.61</v>
      </c>
      <c r="P76" s="238">
        <v>35886.679999999935</v>
      </c>
      <c r="Q76" s="197">
        <v>310588.04000000004</v>
      </c>
      <c r="R76" s="171">
        <f t="shared" si="30"/>
        <v>346474.72</v>
      </c>
      <c r="S76" s="202">
        <v>378668.74999999994</v>
      </c>
      <c r="T76" s="238">
        <v>0</v>
      </c>
      <c r="U76" s="238">
        <v>320033.48</v>
      </c>
      <c r="V76" s="171">
        <f t="shared" si="31"/>
        <v>320033.48</v>
      </c>
      <c r="W76" s="56">
        <v>456772.58000000025</v>
      </c>
      <c r="X76" s="568">
        <f t="shared" si="32"/>
        <v>0</v>
      </c>
      <c r="Y76" s="569">
        <v>342136.51</v>
      </c>
      <c r="Z76" s="171">
        <f t="shared" si="33"/>
        <v>342136.51</v>
      </c>
      <c r="AA76" s="48">
        <v>364060.3000000001</v>
      </c>
      <c r="AB76" s="238">
        <f t="shared" si="34"/>
        <v>0</v>
      </c>
      <c r="AC76" s="238">
        <v>342199.8</v>
      </c>
      <c r="AD76" s="171">
        <f t="shared" si="35"/>
        <v>342199.8</v>
      </c>
      <c r="AE76" s="238"/>
      <c r="AF76" s="238">
        <f t="shared" si="36"/>
        <v>0</v>
      </c>
      <c r="AG76" s="196">
        <v>69</v>
      </c>
      <c r="AH76" s="73" t="s">
        <v>390</v>
      </c>
      <c r="AI76" s="139" t="s">
        <v>391</v>
      </c>
      <c r="AJ76" s="238">
        <f t="shared" si="37"/>
        <v>0</v>
      </c>
      <c r="AK76" s="238"/>
      <c r="AL76" s="358" t="s">
        <v>390</v>
      </c>
      <c r="AM76" s="48">
        <v>364060.3000000001</v>
      </c>
      <c r="AN76" s="238" t="s">
        <v>390</v>
      </c>
      <c r="AO76" s="238">
        <v>342199.8</v>
      </c>
      <c r="AQ76" s="472">
        <f t="shared" si="38"/>
        <v>0</v>
      </c>
      <c r="AS76" t="s">
        <v>390</v>
      </c>
      <c r="AT76" t="s">
        <v>1778</v>
      </c>
      <c r="AU76" s="48">
        <v>240490.89</v>
      </c>
      <c r="AV76" s="48">
        <v>16747.349999999999</v>
      </c>
      <c r="AW76" s="48">
        <v>2472.87</v>
      </c>
      <c r="AX76" s="48">
        <v>0</v>
      </c>
      <c r="AY76" s="48">
        <v>48879.89</v>
      </c>
      <c r="AZ76" s="48">
        <v>14659.91</v>
      </c>
      <c r="BA76" s="48">
        <v>7350.77</v>
      </c>
      <c r="BB76" s="48">
        <v>5556.24</v>
      </c>
      <c r="BC76" s="48">
        <v>1430.69</v>
      </c>
      <c r="BD76" s="48">
        <v>4611.1899999999996</v>
      </c>
      <c r="BE76" s="48"/>
      <c r="BF76" s="48">
        <f t="shared" si="26"/>
        <v>342199.8</v>
      </c>
      <c r="BG76" s="48"/>
      <c r="BH76" s="48"/>
      <c r="BI76" s="48" t="str">
        <f t="shared" si="39"/>
        <v>19401</v>
      </c>
      <c r="BJ76" s="48">
        <f t="shared" si="40"/>
        <v>342199.8</v>
      </c>
      <c r="BK76" s="628">
        <f t="shared" si="41"/>
        <v>0</v>
      </c>
    </row>
    <row r="77" spans="1:63">
      <c r="A77" s="196">
        <v>70</v>
      </c>
      <c r="B77" s="73" t="s">
        <v>307</v>
      </c>
      <c r="C77" s="139" t="s">
        <v>308</v>
      </c>
      <c r="D77" s="168">
        <v>0</v>
      </c>
      <c r="E77" s="170">
        <v>106526.43000000001</v>
      </c>
      <c r="F77" s="171">
        <f t="shared" si="27"/>
        <v>106526.43000000001</v>
      </c>
      <c r="G77" s="181">
        <v>100421.02</v>
      </c>
      <c r="H77" s="178">
        <v>6105.4100000000035</v>
      </c>
      <c r="I77" s="170">
        <v>150672.45000000001</v>
      </c>
      <c r="J77" s="171">
        <f t="shared" si="28"/>
        <v>156777.86000000002</v>
      </c>
      <c r="K77" s="202">
        <v>149811.79</v>
      </c>
      <c r="L77" s="171">
        <v>6966.070000000007</v>
      </c>
      <c r="M77" s="197">
        <v>154013.63</v>
      </c>
      <c r="N77" s="171">
        <f t="shared" si="29"/>
        <v>160979.70000000001</v>
      </c>
      <c r="O77" s="202">
        <v>141429.46</v>
      </c>
      <c r="P77" s="238">
        <v>19550.24000000002</v>
      </c>
      <c r="Q77" s="197">
        <v>175382.52</v>
      </c>
      <c r="R77" s="171">
        <f t="shared" si="30"/>
        <v>194932.76</v>
      </c>
      <c r="S77" s="202">
        <v>141189.50999999998</v>
      </c>
      <c r="T77" s="238">
        <v>53743.250000000029</v>
      </c>
      <c r="U77" s="238">
        <v>175741.21000000002</v>
      </c>
      <c r="V77" s="171">
        <f t="shared" si="31"/>
        <v>229484.46000000005</v>
      </c>
      <c r="W77" s="56">
        <v>180009.06999999998</v>
      </c>
      <c r="X77" s="568">
        <f t="shared" si="32"/>
        <v>49475.390000000072</v>
      </c>
      <c r="Y77" s="569">
        <v>183791.69000000003</v>
      </c>
      <c r="Z77" s="171">
        <f t="shared" si="33"/>
        <v>233267.0800000001</v>
      </c>
      <c r="AA77" s="48">
        <v>176827.93000000002</v>
      </c>
      <c r="AB77" s="238">
        <f t="shared" si="34"/>
        <v>56439.150000000081</v>
      </c>
      <c r="AC77" s="238">
        <v>176989.7</v>
      </c>
      <c r="AD77" s="171">
        <f t="shared" si="35"/>
        <v>233428.85000000009</v>
      </c>
      <c r="AE77" s="238"/>
      <c r="AF77" s="238">
        <f t="shared" si="36"/>
        <v>0</v>
      </c>
      <c r="AG77" s="196">
        <v>70</v>
      </c>
      <c r="AH77" s="73" t="s">
        <v>307</v>
      </c>
      <c r="AI77" s="139" t="s">
        <v>308</v>
      </c>
      <c r="AJ77" s="238">
        <f t="shared" si="37"/>
        <v>0</v>
      </c>
      <c r="AK77" s="238"/>
      <c r="AL77" s="358" t="s">
        <v>307</v>
      </c>
      <c r="AM77" s="48">
        <v>176827.93000000002</v>
      </c>
      <c r="AN77" s="238" t="s">
        <v>307</v>
      </c>
      <c r="AO77" s="238">
        <v>176989.7</v>
      </c>
      <c r="AQ77" s="472">
        <f t="shared" si="38"/>
        <v>0</v>
      </c>
      <c r="AS77" t="s">
        <v>307</v>
      </c>
      <c r="AT77" t="s">
        <v>1733</v>
      </c>
      <c r="AU77" s="48">
        <v>95011.11</v>
      </c>
      <c r="AV77" s="48">
        <v>27998.59</v>
      </c>
      <c r="AW77" s="48">
        <v>4048.47</v>
      </c>
      <c r="AX77" s="48">
        <v>0</v>
      </c>
      <c r="AY77" s="48">
        <v>27595.55</v>
      </c>
      <c r="AZ77" s="48">
        <v>9959.2999999999993</v>
      </c>
      <c r="BA77" s="48">
        <v>7138.01</v>
      </c>
      <c r="BB77" s="48">
        <v>3370.13</v>
      </c>
      <c r="BC77" s="48">
        <v>695.31</v>
      </c>
      <c r="BD77" s="48">
        <v>1173.23</v>
      </c>
      <c r="BE77" s="48"/>
      <c r="BF77" s="48">
        <f t="shared" si="26"/>
        <v>176989.7</v>
      </c>
      <c r="BG77" s="48"/>
      <c r="BH77" s="48"/>
      <c r="BI77" s="48" t="str">
        <f t="shared" si="39"/>
        <v>14068</v>
      </c>
      <c r="BJ77" s="48">
        <f t="shared" si="40"/>
        <v>176989.7</v>
      </c>
      <c r="BK77" s="628">
        <f t="shared" si="41"/>
        <v>0</v>
      </c>
    </row>
    <row r="78" spans="1:63">
      <c r="A78" s="196">
        <v>71</v>
      </c>
      <c r="B78" s="73" t="s">
        <v>703</v>
      </c>
      <c r="C78" s="139" t="s">
        <v>704</v>
      </c>
      <c r="D78" s="168">
        <v>764.97000000000025</v>
      </c>
      <c r="E78" s="170">
        <v>12553.25</v>
      </c>
      <c r="F78" s="171">
        <f t="shared" si="27"/>
        <v>13318.220000000001</v>
      </c>
      <c r="G78" s="181">
        <v>13381.05</v>
      </c>
      <c r="H78" s="178">
        <v>0</v>
      </c>
      <c r="I78" s="170">
        <v>19254.27</v>
      </c>
      <c r="J78" s="171">
        <f t="shared" si="28"/>
        <v>19254.27</v>
      </c>
      <c r="K78" s="202">
        <v>19076.599999999999</v>
      </c>
      <c r="L78" s="171">
        <v>177.67000000000189</v>
      </c>
      <c r="M78" s="197">
        <v>19422.939999999999</v>
      </c>
      <c r="N78" s="171">
        <f t="shared" si="29"/>
        <v>19600.61</v>
      </c>
      <c r="O78" s="202">
        <v>23947.760000000002</v>
      </c>
      <c r="P78" s="238">
        <v>0</v>
      </c>
      <c r="Q78" s="197">
        <v>20504.09</v>
      </c>
      <c r="R78" s="171">
        <f t="shared" si="30"/>
        <v>20504.09</v>
      </c>
      <c r="S78" s="202">
        <v>18366.59</v>
      </c>
      <c r="T78" s="238">
        <v>2137.5</v>
      </c>
      <c r="U78" s="238">
        <v>20832.469999999998</v>
      </c>
      <c r="V78" s="171">
        <f t="shared" si="31"/>
        <v>22969.969999999998</v>
      </c>
      <c r="W78" s="56"/>
      <c r="X78" s="568">
        <f t="shared" si="32"/>
        <v>22969.969999999998</v>
      </c>
      <c r="Y78" s="569">
        <v>21451.88</v>
      </c>
      <c r="Z78" s="171">
        <f t="shared" si="33"/>
        <v>44421.85</v>
      </c>
      <c r="AA78" s="48">
        <v>21278.16</v>
      </c>
      <c r="AB78" s="238">
        <f t="shared" si="34"/>
        <v>23143.69</v>
      </c>
      <c r="AC78" s="238">
        <v>22114.44</v>
      </c>
      <c r="AD78" s="171">
        <f t="shared" si="35"/>
        <v>45258.13</v>
      </c>
      <c r="AE78" s="238"/>
      <c r="AF78" s="238">
        <f t="shared" si="36"/>
        <v>0</v>
      </c>
      <c r="AG78" s="196">
        <v>71</v>
      </c>
      <c r="AH78" s="73" t="s">
        <v>703</v>
      </c>
      <c r="AI78" s="139" t="s">
        <v>704</v>
      </c>
      <c r="AJ78" s="238">
        <f t="shared" si="37"/>
        <v>0</v>
      </c>
      <c r="AK78" s="238"/>
      <c r="AL78" s="358" t="s">
        <v>703</v>
      </c>
      <c r="AM78" s="48">
        <v>21278.16</v>
      </c>
      <c r="AN78" s="238" t="s">
        <v>703</v>
      </c>
      <c r="AO78" s="238">
        <v>22114.44</v>
      </c>
      <c r="AQ78" s="472">
        <f t="shared" si="38"/>
        <v>0</v>
      </c>
      <c r="AS78" t="s">
        <v>703</v>
      </c>
      <c r="AT78" t="s">
        <v>1938</v>
      </c>
      <c r="AU78" s="48">
        <v>19548.599999999999</v>
      </c>
      <c r="AV78" s="48">
        <v>0</v>
      </c>
      <c r="AW78" s="48">
        <v>0</v>
      </c>
      <c r="AX78" s="48">
        <v>0</v>
      </c>
      <c r="AY78" s="48">
        <v>1764.16</v>
      </c>
      <c r="AZ78" s="48">
        <v>474.84</v>
      </c>
      <c r="BA78" s="48">
        <v>326.83999999999997</v>
      </c>
      <c r="BB78" s="48">
        <v>0</v>
      </c>
      <c r="BC78" s="48">
        <v>0</v>
      </c>
      <c r="BD78" s="48">
        <v>0</v>
      </c>
      <c r="BE78" s="48"/>
      <c r="BF78" s="48">
        <f t="shared" si="26"/>
        <v>22114.44</v>
      </c>
      <c r="BG78" s="48"/>
      <c r="BH78" s="48"/>
      <c r="BI78" s="48" t="str">
        <f t="shared" si="39"/>
        <v>38308</v>
      </c>
      <c r="BJ78" s="48">
        <f t="shared" si="40"/>
        <v>22114.44</v>
      </c>
      <c r="BK78" s="628">
        <f t="shared" si="41"/>
        <v>0</v>
      </c>
    </row>
    <row r="79" spans="1:63">
      <c r="A79" s="196">
        <v>72</v>
      </c>
      <c r="B79" s="73" t="s">
        <v>193</v>
      </c>
      <c r="C79" s="139" t="s">
        <v>194</v>
      </c>
      <c r="D79" s="168">
        <v>879.10000000000218</v>
      </c>
      <c r="E79" s="170">
        <v>25870.42</v>
      </c>
      <c r="F79" s="171">
        <f t="shared" si="27"/>
        <v>26749.52</v>
      </c>
      <c r="G79" s="181">
        <v>27298.21</v>
      </c>
      <c r="H79" s="178">
        <v>0</v>
      </c>
      <c r="I79" s="170">
        <v>39254.080000000002</v>
      </c>
      <c r="J79" s="171">
        <f t="shared" si="28"/>
        <v>39254.080000000002</v>
      </c>
      <c r="K79" s="202">
        <v>33610.47</v>
      </c>
      <c r="L79" s="171">
        <v>5643.6100000000006</v>
      </c>
      <c r="M79" s="197">
        <v>40955.26</v>
      </c>
      <c r="N79" s="171">
        <f t="shared" si="29"/>
        <v>46598.87</v>
      </c>
      <c r="O79" s="202">
        <v>32834.230000000003</v>
      </c>
      <c r="P79" s="238">
        <v>13764.64</v>
      </c>
      <c r="Q79" s="197">
        <v>45510.19</v>
      </c>
      <c r="R79" s="171">
        <f t="shared" si="30"/>
        <v>59274.83</v>
      </c>
      <c r="S79" s="202">
        <v>43851.520000000004</v>
      </c>
      <c r="T79" s="238">
        <v>15423.309999999998</v>
      </c>
      <c r="U79" s="238">
        <v>51658.7</v>
      </c>
      <c r="V79" s="171">
        <f t="shared" si="31"/>
        <v>67082.009999999995</v>
      </c>
      <c r="W79" s="56">
        <v>59405.079999999987</v>
      </c>
      <c r="X79" s="568">
        <f t="shared" si="32"/>
        <v>7676.9300000000076</v>
      </c>
      <c r="Y79" s="569">
        <v>53072.119999999995</v>
      </c>
      <c r="Z79" s="171">
        <f t="shared" si="33"/>
        <v>60749.05</v>
      </c>
      <c r="AA79" s="48">
        <v>60748.999999999985</v>
      </c>
      <c r="AB79" s="238">
        <f t="shared" si="34"/>
        <v>5.0000000017462298E-2</v>
      </c>
      <c r="AC79" s="238">
        <v>54251.130000000005</v>
      </c>
      <c r="AD79" s="171">
        <f t="shared" si="35"/>
        <v>54251.180000000022</v>
      </c>
      <c r="AE79" s="238"/>
      <c r="AF79" s="238">
        <f t="shared" si="36"/>
        <v>0</v>
      </c>
      <c r="AG79" s="196">
        <v>72</v>
      </c>
      <c r="AH79" s="73" t="s">
        <v>193</v>
      </c>
      <c r="AI79" s="139" t="s">
        <v>194</v>
      </c>
      <c r="AJ79" s="238">
        <f t="shared" si="37"/>
        <v>0</v>
      </c>
      <c r="AK79" s="238"/>
      <c r="AL79" s="358" t="s">
        <v>193</v>
      </c>
      <c r="AM79" s="48">
        <v>60748.999999999985</v>
      </c>
      <c r="AN79" s="238" t="s">
        <v>193</v>
      </c>
      <c r="AO79" s="238">
        <v>54251.130000000005</v>
      </c>
      <c r="AQ79" s="472">
        <f t="shared" si="38"/>
        <v>0</v>
      </c>
      <c r="AS79" t="s">
        <v>193</v>
      </c>
      <c r="AT79" t="s">
        <v>1674</v>
      </c>
      <c r="AU79" s="48">
        <v>41664.78</v>
      </c>
      <c r="AV79" s="48">
        <v>2233.48</v>
      </c>
      <c r="AW79" s="48">
        <v>2360.14</v>
      </c>
      <c r="AX79" s="48">
        <v>0</v>
      </c>
      <c r="AY79" s="48">
        <v>0</v>
      </c>
      <c r="AZ79" s="48">
        <v>2722.5</v>
      </c>
      <c r="BA79" s="48">
        <v>1899.98</v>
      </c>
      <c r="BB79" s="48">
        <v>3182.66</v>
      </c>
      <c r="BC79" s="48">
        <v>187.59</v>
      </c>
      <c r="BD79" s="48">
        <v>0</v>
      </c>
      <c r="BE79" s="48"/>
      <c r="BF79" s="48">
        <f t="shared" si="26"/>
        <v>54251.130000000005</v>
      </c>
      <c r="BG79" s="48"/>
      <c r="BH79" s="48"/>
      <c r="BI79" s="48" t="str">
        <f t="shared" si="39"/>
        <v>04127</v>
      </c>
      <c r="BJ79" s="48">
        <f t="shared" si="40"/>
        <v>54251.130000000005</v>
      </c>
      <c r="BK79" s="628">
        <f t="shared" si="41"/>
        <v>0</v>
      </c>
    </row>
    <row r="80" spans="1:63">
      <c r="A80" s="196">
        <v>73</v>
      </c>
      <c r="B80" s="73" t="s">
        <v>342</v>
      </c>
      <c r="C80" s="139" t="s">
        <v>343</v>
      </c>
      <c r="D80" s="168">
        <v>77504.13</v>
      </c>
      <c r="E80" s="170">
        <v>293751.14</v>
      </c>
      <c r="F80" s="171">
        <f t="shared" si="27"/>
        <v>371255.27</v>
      </c>
      <c r="G80" s="181">
        <v>233052.25</v>
      </c>
      <c r="H80" s="178">
        <v>138203.02000000002</v>
      </c>
      <c r="I80" s="170">
        <v>419949.57999999996</v>
      </c>
      <c r="J80" s="171">
        <f t="shared" si="28"/>
        <v>558152.6</v>
      </c>
      <c r="K80" s="202">
        <v>371398.67000000004</v>
      </c>
      <c r="L80" s="171">
        <v>186753.92999999993</v>
      </c>
      <c r="M80" s="197">
        <v>438004.43</v>
      </c>
      <c r="N80" s="171">
        <f t="shared" si="29"/>
        <v>624758.35999999987</v>
      </c>
      <c r="O80" s="202">
        <v>394147.49000000005</v>
      </c>
      <c r="P80" s="238">
        <v>230610.86999999982</v>
      </c>
      <c r="Q80" s="197">
        <v>486490.75</v>
      </c>
      <c r="R80" s="171">
        <f t="shared" si="30"/>
        <v>717101.61999999988</v>
      </c>
      <c r="S80" s="202">
        <v>415920.89</v>
      </c>
      <c r="T80" s="238">
        <v>301180.72999999986</v>
      </c>
      <c r="U80" s="238">
        <v>505115.71</v>
      </c>
      <c r="V80" s="171">
        <f t="shared" si="31"/>
        <v>806296.44</v>
      </c>
      <c r="W80" s="56">
        <v>424037.56</v>
      </c>
      <c r="X80" s="568">
        <f t="shared" si="32"/>
        <v>382258.87999999995</v>
      </c>
      <c r="Y80" s="569">
        <v>539815.40999999992</v>
      </c>
      <c r="Z80" s="171">
        <f t="shared" si="33"/>
        <v>922074.2899999998</v>
      </c>
      <c r="AA80" s="48">
        <v>703558.19999999937</v>
      </c>
      <c r="AB80" s="238">
        <f t="shared" si="34"/>
        <v>218516.09000000043</v>
      </c>
      <c r="AC80" s="238">
        <v>527602.6</v>
      </c>
      <c r="AD80" s="171">
        <f t="shared" si="35"/>
        <v>746118.69000000041</v>
      </c>
      <c r="AE80" s="238"/>
      <c r="AF80" s="238">
        <f t="shared" si="36"/>
        <v>0</v>
      </c>
      <c r="AG80" s="196">
        <v>73</v>
      </c>
      <c r="AH80" s="73" t="s">
        <v>342</v>
      </c>
      <c r="AI80" s="139" t="s">
        <v>343</v>
      </c>
      <c r="AJ80" s="238">
        <f t="shared" si="37"/>
        <v>0</v>
      </c>
      <c r="AK80" s="238"/>
      <c r="AL80" s="358" t="s">
        <v>342</v>
      </c>
      <c r="AM80" s="48">
        <v>703558.19999999937</v>
      </c>
      <c r="AN80" s="238" t="s">
        <v>342</v>
      </c>
      <c r="AO80" s="238">
        <v>527602.6</v>
      </c>
      <c r="AQ80" s="472">
        <f t="shared" si="38"/>
        <v>0</v>
      </c>
      <c r="AS80" t="s">
        <v>342</v>
      </c>
      <c r="AT80" t="s">
        <v>1751</v>
      </c>
      <c r="AU80" s="48">
        <v>364737.32</v>
      </c>
      <c r="AV80" s="48">
        <v>44161.82</v>
      </c>
      <c r="AW80" s="48">
        <v>16443.27</v>
      </c>
      <c r="AX80" s="48">
        <v>0</v>
      </c>
      <c r="AY80" s="48">
        <v>70882.789999999994</v>
      </c>
      <c r="AZ80" s="48">
        <v>14830.53</v>
      </c>
      <c r="BA80" s="48">
        <v>0</v>
      </c>
      <c r="BB80" s="48">
        <v>9400.1</v>
      </c>
      <c r="BC80" s="48">
        <v>2170.4499999999998</v>
      </c>
      <c r="BD80" s="48">
        <v>4976.32</v>
      </c>
      <c r="BE80" s="48"/>
      <c r="BF80" s="48">
        <f t="shared" si="26"/>
        <v>527602.6</v>
      </c>
      <c r="BG80" s="48"/>
      <c r="BH80" s="48"/>
      <c r="BI80" s="48" t="str">
        <f t="shared" si="39"/>
        <v>17216</v>
      </c>
      <c r="BJ80" s="48">
        <f t="shared" si="40"/>
        <v>527602.6</v>
      </c>
      <c r="BK80" s="628">
        <f t="shared" si="41"/>
        <v>0</v>
      </c>
    </row>
    <row r="81" spans="1:63">
      <c r="A81" s="196">
        <v>74</v>
      </c>
      <c r="B81" s="73" t="s">
        <v>291</v>
      </c>
      <c r="C81" s="139" t="s">
        <v>292</v>
      </c>
      <c r="D81" s="168">
        <v>0</v>
      </c>
      <c r="E81" s="170">
        <v>170427.08</v>
      </c>
      <c r="F81" s="171">
        <f t="shared" si="27"/>
        <v>170427.08</v>
      </c>
      <c r="G81" s="181">
        <v>170427.08</v>
      </c>
      <c r="H81" s="178">
        <v>0</v>
      </c>
      <c r="I81" s="170">
        <v>254721.88</v>
      </c>
      <c r="J81" s="171">
        <f t="shared" si="28"/>
        <v>254721.88</v>
      </c>
      <c r="K81" s="202">
        <v>245876.41000000006</v>
      </c>
      <c r="L81" s="171">
        <v>8845.469999999943</v>
      </c>
      <c r="M81" s="197">
        <v>255693.59999999998</v>
      </c>
      <c r="N81" s="171">
        <f t="shared" si="29"/>
        <v>264539.06999999995</v>
      </c>
      <c r="O81" s="202">
        <v>264539.07</v>
      </c>
      <c r="P81" s="238">
        <v>0</v>
      </c>
      <c r="Q81" s="197">
        <v>279159.19999999995</v>
      </c>
      <c r="R81" s="171">
        <f t="shared" si="30"/>
        <v>279159.19999999995</v>
      </c>
      <c r="S81" s="202">
        <v>279159.2</v>
      </c>
      <c r="T81" s="238">
        <v>0</v>
      </c>
      <c r="U81" s="238">
        <v>301067.45</v>
      </c>
      <c r="V81" s="171">
        <f t="shared" si="31"/>
        <v>301067.45</v>
      </c>
      <c r="W81" s="56">
        <v>301067.44999999995</v>
      </c>
      <c r="X81" s="568">
        <f t="shared" si="32"/>
        <v>5.8207660913467407E-11</v>
      </c>
      <c r="Y81" s="569">
        <v>318891.71999999997</v>
      </c>
      <c r="Z81" s="171">
        <f t="shared" si="33"/>
        <v>318891.72000000003</v>
      </c>
      <c r="AA81" s="48">
        <v>318892.00000000017</v>
      </c>
      <c r="AB81" s="238">
        <f t="shared" si="34"/>
        <v>0</v>
      </c>
      <c r="AC81" s="238">
        <v>316349.19</v>
      </c>
      <c r="AD81" s="171">
        <f t="shared" si="35"/>
        <v>316349.19</v>
      </c>
      <c r="AE81" s="238"/>
      <c r="AF81" s="238">
        <f t="shared" si="36"/>
        <v>0</v>
      </c>
      <c r="AG81" s="196">
        <v>74</v>
      </c>
      <c r="AH81" s="73" t="s">
        <v>291</v>
      </c>
      <c r="AI81" s="139" t="s">
        <v>292</v>
      </c>
      <c r="AJ81" s="238">
        <f t="shared" si="37"/>
        <v>0</v>
      </c>
      <c r="AK81" s="238"/>
      <c r="AL81" s="358" t="s">
        <v>291</v>
      </c>
      <c r="AM81" s="48">
        <v>318892.00000000017</v>
      </c>
      <c r="AN81" s="238" t="s">
        <v>291</v>
      </c>
      <c r="AO81" s="238">
        <v>316349.19</v>
      </c>
      <c r="AQ81" s="472">
        <f t="shared" si="38"/>
        <v>0</v>
      </c>
      <c r="AS81" t="s">
        <v>291</v>
      </c>
      <c r="AT81" t="s">
        <v>1725</v>
      </c>
      <c r="AU81" s="48">
        <v>209547.25</v>
      </c>
      <c r="AV81" s="48">
        <v>19395.78</v>
      </c>
      <c r="AW81" s="48">
        <v>3886.53</v>
      </c>
      <c r="AX81" s="48">
        <v>0</v>
      </c>
      <c r="AY81" s="48">
        <v>41431.550000000003</v>
      </c>
      <c r="AZ81" s="48">
        <v>16285.28</v>
      </c>
      <c r="BA81" s="48">
        <v>12727.44</v>
      </c>
      <c r="BB81" s="48">
        <v>11837.57</v>
      </c>
      <c r="BC81" s="48">
        <v>1237.79</v>
      </c>
      <c r="BD81" s="48">
        <v>0</v>
      </c>
      <c r="BE81" s="48"/>
      <c r="BF81" s="48">
        <f t="shared" si="26"/>
        <v>316349.19</v>
      </c>
      <c r="BG81" s="48"/>
      <c r="BH81" s="48"/>
      <c r="BI81" s="48" t="str">
        <f t="shared" si="39"/>
        <v>13165</v>
      </c>
      <c r="BJ81" s="48">
        <f t="shared" si="40"/>
        <v>316349.19</v>
      </c>
      <c r="BK81" s="628">
        <f t="shared" si="41"/>
        <v>0</v>
      </c>
    </row>
    <row r="82" spans="1:63">
      <c r="A82" s="196">
        <v>75</v>
      </c>
      <c r="B82" s="173" t="s">
        <v>1500</v>
      </c>
      <c r="C82" s="73" t="s">
        <v>1582</v>
      </c>
      <c r="D82" s="168">
        <v>0</v>
      </c>
      <c r="E82" s="170"/>
      <c r="F82" s="171">
        <f t="shared" si="27"/>
        <v>0</v>
      </c>
      <c r="G82" s="181"/>
      <c r="H82" s="177">
        <v>0</v>
      </c>
      <c r="I82" s="170"/>
      <c r="J82" s="171">
        <f t="shared" si="28"/>
        <v>0</v>
      </c>
      <c r="K82" s="202"/>
      <c r="L82" s="171">
        <v>0</v>
      </c>
      <c r="M82" s="197"/>
      <c r="N82" s="171">
        <f t="shared" si="29"/>
        <v>0</v>
      </c>
      <c r="O82" s="79"/>
      <c r="P82"/>
      <c r="Q82" s="197"/>
      <c r="R82" s="171">
        <f t="shared" si="30"/>
        <v>0</v>
      </c>
      <c r="S82" s="202">
        <v>0</v>
      </c>
      <c r="T82" s="238">
        <v>0</v>
      </c>
      <c r="U82" s="238"/>
      <c r="V82" s="171">
        <f t="shared" si="31"/>
        <v>0</v>
      </c>
      <c r="W82" s="56"/>
      <c r="X82" s="568">
        <f t="shared" si="32"/>
        <v>0</v>
      </c>
      <c r="Y82" s="569">
        <v>0</v>
      </c>
      <c r="Z82" s="171">
        <f t="shared" si="33"/>
        <v>0</v>
      </c>
      <c r="AA82" s="48"/>
      <c r="AB82" s="238">
        <f t="shared" si="34"/>
        <v>0</v>
      </c>
      <c r="AC82" s="238">
        <v>0</v>
      </c>
      <c r="AD82" s="171">
        <f t="shared" si="35"/>
        <v>0</v>
      </c>
      <c r="AE82" s="238"/>
      <c r="AF82" s="238">
        <f t="shared" si="36"/>
        <v>0</v>
      </c>
      <c r="AG82" s="196">
        <v>75</v>
      </c>
      <c r="AH82" s="173" t="s">
        <v>1500</v>
      </c>
      <c r="AI82" s="73" t="s">
        <v>1582</v>
      </c>
      <c r="AJ82" s="238">
        <f t="shared" si="37"/>
        <v>0</v>
      </c>
      <c r="AK82" s="238"/>
      <c r="AL82" s="173" t="s">
        <v>1500</v>
      </c>
      <c r="AM82" s="48"/>
      <c r="AN82" s="238" t="s">
        <v>1500</v>
      </c>
      <c r="AO82" s="238">
        <v>0</v>
      </c>
      <c r="AQ82" s="472">
        <f t="shared" si="38"/>
        <v>0</v>
      </c>
      <c r="AS82" t="s">
        <v>1500</v>
      </c>
      <c r="AT82" t="s">
        <v>1582</v>
      </c>
      <c r="AU82" s="48">
        <v>0</v>
      </c>
      <c r="AV82" s="48">
        <v>0</v>
      </c>
      <c r="AW82" s="48">
        <v>0</v>
      </c>
      <c r="AX82" s="48">
        <v>0</v>
      </c>
      <c r="AY82" s="48">
        <v>0</v>
      </c>
      <c r="AZ82" s="48">
        <v>0</v>
      </c>
      <c r="BA82" s="48">
        <v>0</v>
      </c>
      <c r="BB82" s="48">
        <v>0</v>
      </c>
      <c r="BC82" s="48">
        <v>0</v>
      </c>
      <c r="BD82" s="48">
        <v>0</v>
      </c>
      <c r="BE82" s="48"/>
      <c r="BF82" s="48">
        <f t="shared" si="26"/>
        <v>0</v>
      </c>
      <c r="BG82" s="48"/>
      <c r="BH82" s="48"/>
      <c r="BI82" s="48" t="str">
        <f t="shared" si="39"/>
        <v>06701</v>
      </c>
      <c r="BJ82" s="48">
        <f t="shared" si="40"/>
        <v>0</v>
      </c>
      <c r="BK82" s="628">
        <f t="shared" si="41"/>
        <v>0</v>
      </c>
    </row>
    <row r="83" spans="1:63">
      <c r="A83" s="196">
        <v>76</v>
      </c>
      <c r="B83" s="73" t="s">
        <v>766</v>
      </c>
      <c r="C83" s="73" t="s">
        <v>1583</v>
      </c>
      <c r="D83" s="168">
        <v>0</v>
      </c>
      <c r="E83" s="170"/>
      <c r="F83" s="171">
        <f t="shared" si="27"/>
        <v>0</v>
      </c>
      <c r="G83" s="181"/>
      <c r="H83" s="177">
        <v>0</v>
      </c>
      <c r="I83" s="170"/>
      <c r="J83" s="171">
        <f t="shared" si="28"/>
        <v>0</v>
      </c>
      <c r="K83" s="202"/>
      <c r="L83" s="171">
        <v>0</v>
      </c>
      <c r="M83" s="197"/>
      <c r="N83" s="171">
        <f t="shared" si="29"/>
        <v>0</v>
      </c>
      <c r="O83" s="79"/>
      <c r="P83"/>
      <c r="Q83" s="197"/>
      <c r="R83" s="171">
        <f t="shared" si="30"/>
        <v>0</v>
      </c>
      <c r="S83" s="202"/>
      <c r="T83" s="238">
        <v>0</v>
      </c>
      <c r="U83" s="238"/>
      <c r="V83" s="171">
        <f t="shared" si="31"/>
        <v>0</v>
      </c>
      <c r="W83" s="56"/>
      <c r="X83" s="568">
        <f t="shared" si="32"/>
        <v>0</v>
      </c>
      <c r="Y83" s="569">
        <v>0</v>
      </c>
      <c r="Z83" s="171">
        <f t="shared" si="33"/>
        <v>0</v>
      </c>
      <c r="AA83" s="48"/>
      <c r="AB83" s="238">
        <f t="shared" si="34"/>
        <v>0</v>
      </c>
      <c r="AC83" s="238">
        <v>0</v>
      </c>
      <c r="AD83" s="171">
        <f t="shared" si="35"/>
        <v>0</v>
      </c>
      <c r="AE83" s="238"/>
      <c r="AF83" s="238">
        <f t="shared" si="36"/>
        <v>0</v>
      </c>
      <c r="AG83" s="196">
        <v>76</v>
      </c>
      <c r="AH83" s="73" t="s">
        <v>766</v>
      </c>
      <c r="AI83" s="73" t="s">
        <v>1583</v>
      </c>
      <c r="AJ83" s="238">
        <f t="shared" si="37"/>
        <v>0</v>
      </c>
      <c r="AK83" s="238"/>
      <c r="AL83" s="73" t="s">
        <v>766</v>
      </c>
      <c r="AM83" s="48"/>
      <c r="AN83" s="238" t="s">
        <v>766</v>
      </c>
      <c r="AO83" s="238">
        <v>0</v>
      </c>
      <c r="AQ83" s="472">
        <f t="shared" si="38"/>
        <v>0</v>
      </c>
      <c r="AS83" t="s">
        <v>766</v>
      </c>
      <c r="AT83" t="s">
        <v>2632</v>
      </c>
      <c r="AU83" s="48">
        <v>0</v>
      </c>
      <c r="AV83" s="48">
        <v>0</v>
      </c>
      <c r="AW83" s="48">
        <v>0</v>
      </c>
      <c r="AX83" s="48">
        <v>0</v>
      </c>
      <c r="AY83" s="48">
        <v>0</v>
      </c>
      <c r="AZ83" s="48">
        <v>0</v>
      </c>
      <c r="BA83" s="48">
        <v>0</v>
      </c>
      <c r="BB83" s="48">
        <v>0</v>
      </c>
      <c r="BC83" s="48">
        <v>0</v>
      </c>
      <c r="BD83" s="48">
        <v>0</v>
      </c>
      <c r="BE83" s="48"/>
      <c r="BF83" s="48">
        <f t="shared" si="26"/>
        <v>0</v>
      </c>
      <c r="BG83" s="48"/>
      <c r="BH83" s="48"/>
      <c r="BI83" s="48" t="str">
        <f t="shared" si="39"/>
        <v>32801</v>
      </c>
      <c r="BJ83" s="48">
        <f t="shared" si="40"/>
        <v>0</v>
      </c>
      <c r="BK83" s="628">
        <f t="shared" si="41"/>
        <v>0</v>
      </c>
    </row>
    <row r="84" spans="1:63">
      <c r="A84" s="196">
        <v>77</v>
      </c>
      <c r="B84" s="173" t="s">
        <v>768</v>
      </c>
      <c r="C84" s="73" t="s">
        <v>1584</v>
      </c>
      <c r="D84" s="168">
        <v>0</v>
      </c>
      <c r="E84" s="170"/>
      <c r="F84" s="171">
        <f t="shared" si="27"/>
        <v>0</v>
      </c>
      <c r="G84" s="181"/>
      <c r="H84" s="177">
        <v>0</v>
      </c>
      <c r="I84" s="170"/>
      <c r="J84" s="171">
        <f t="shared" si="28"/>
        <v>0</v>
      </c>
      <c r="K84" s="202"/>
      <c r="L84" s="171">
        <v>0</v>
      </c>
      <c r="M84" s="197"/>
      <c r="N84" s="171">
        <f t="shared" si="29"/>
        <v>0</v>
      </c>
      <c r="O84" s="79"/>
      <c r="P84"/>
      <c r="Q84" s="197"/>
      <c r="R84" s="171">
        <f t="shared" si="30"/>
        <v>0</v>
      </c>
      <c r="S84" s="202">
        <v>0</v>
      </c>
      <c r="T84" s="238">
        <v>0</v>
      </c>
      <c r="U84" s="238"/>
      <c r="V84" s="171">
        <f t="shared" si="31"/>
        <v>0</v>
      </c>
      <c r="W84" s="79"/>
      <c r="X84" s="568">
        <f t="shared" si="32"/>
        <v>0</v>
      </c>
      <c r="Y84" s="569">
        <v>0</v>
      </c>
      <c r="Z84" s="171">
        <f t="shared" si="33"/>
        <v>0</v>
      </c>
      <c r="AA84" s="48"/>
      <c r="AB84" s="238">
        <f t="shared" si="34"/>
        <v>0</v>
      </c>
      <c r="AC84" s="238">
        <v>0</v>
      </c>
      <c r="AD84" s="171">
        <f t="shared" si="35"/>
        <v>0</v>
      </c>
      <c r="AE84" s="238"/>
      <c r="AF84" s="238">
        <f t="shared" si="36"/>
        <v>0</v>
      </c>
      <c r="AG84" s="196">
        <v>77</v>
      </c>
      <c r="AH84" s="173" t="s">
        <v>768</v>
      </c>
      <c r="AI84" s="73" t="s">
        <v>1584</v>
      </c>
      <c r="AJ84" s="238">
        <f t="shared" si="37"/>
        <v>0</v>
      </c>
      <c r="AK84" s="238"/>
      <c r="AL84" s="173" t="s">
        <v>768</v>
      </c>
      <c r="AM84" s="48"/>
      <c r="AN84" s="238" t="s">
        <v>768</v>
      </c>
      <c r="AO84" s="238">
        <v>0</v>
      </c>
      <c r="AQ84" s="472">
        <f t="shared" si="38"/>
        <v>0</v>
      </c>
      <c r="AS84" t="s">
        <v>768</v>
      </c>
      <c r="AT84" t="s">
        <v>2634</v>
      </c>
      <c r="AU84" s="48">
        <v>0</v>
      </c>
      <c r="AV84" s="48">
        <v>0</v>
      </c>
      <c r="AW84" s="48">
        <v>0</v>
      </c>
      <c r="AX84" s="48">
        <v>0</v>
      </c>
      <c r="AY84" s="48">
        <v>0</v>
      </c>
      <c r="AZ84" s="48">
        <v>0</v>
      </c>
      <c r="BA84" s="48">
        <v>0</v>
      </c>
      <c r="BB84" s="48">
        <v>0</v>
      </c>
      <c r="BC84" s="48">
        <v>0</v>
      </c>
      <c r="BD84" s="48">
        <v>0</v>
      </c>
      <c r="BE84" s="48"/>
      <c r="BF84" s="48">
        <f t="shared" si="26"/>
        <v>0</v>
      </c>
      <c r="BG84" s="48"/>
      <c r="BH84" s="48"/>
      <c r="BI84" s="48" t="str">
        <f t="shared" si="39"/>
        <v>39801</v>
      </c>
      <c r="BJ84" s="48">
        <f t="shared" si="40"/>
        <v>0</v>
      </c>
      <c r="BK84" s="628">
        <f t="shared" si="41"/>
        <v>0</v>
      </c>
    </row>
    <row r="85" spans="1:63">
      <c r="A85" s="196">
        <v>78</v>
      </c>
      <c r="B85" s="173" t="s">
        <v>761</v>
      </c>
      <c r="C85" s="73" t="s">
        <v>1585</v>
      </c>
      <c r="D85" s="168">
        <v>0</v>
      </c>
      <c r="E85" s="170"/>
      <c r="F85" s="171">
        <f t="shared" si="27"/>
        <v>0</v>
      </c>
      <c r="G85" s="181"/>
      <c r="H85" s="177">
        <v>0</v>
      </c>
      <c r="I85" s="170"/>
      <c r="J85" s="171">
        <f t="shared" si="28"/>
        <v>0</v>
      </c>
      <c r="K85" s="202"/>
      <c r="L85" s="171">
        <v>0</v>
      </c>
      <c r="M85" s="197"/>
      <c r="N85" s="171">
        <f t="shared" si="29"/>
        <v>0</v>
      </c>
      <c r="O85" s="79"/>
      <c r="P85"/>
      <c r="Q85" s="197"/>
      <c r="R85" s="171">
        <f t="shared" si="30"/>
        <v>0</v>
      </c>
      <c r="S85" s="202">
        <v>0</v>
      </c>
      <c r="T85" s="238">
        <v>0</v>
      </c>
      <c r="U85" s="238">
        <v>0</v>
      </c>
      <c r="V85" s="171">
        <f t="shared" si="31"/>
        <v>0</v>
      </c>
      <c r="W85" s="56"/>
      <c r="X85" s="568">
        <f t="shared" si="32"/>
        <v>0</v>
      </c>
      <c r="Y85" s="569">
        <v>0</v>
      </c>
      <c r="Z85" s="171">
        <f t="shared" si="33"/>
        <v>0</v>
      </c>
      <c r="AA85" s="48"/>
      <c r="AB85" s="238">
        <f t="shared" si="34"/>
        <v>0</v>
      </c>
      <c r="AC85" s="238">
        <v>0</v>
      </c>
      <c r="AD85" s="171">
        <f t="shared" si="35"/>
        <v>0</v>
      </c>
      <c r="AE85" s="238"/>
      <c r="AF85" s="238">
        <f t="shared" si="36"/>
        <v>0</v>
      </c>
      <c r="AG85" s="196">
        <v>78</v>
      </c>
      <c r="AH85" s="173" t="s">
        <v>761</v>
      </c>
      <c r="AI85" s="73" t="s">
        <v>1585</v>
      </c>
      <c r="AJ85" s="238">
        <f t="shared" si="37"/>
        <v>0</v>
      </c>
      <c r="AK85" s="238"/>
      <c r="AL85" s="173" t="s">
        <v>761</v>
      </c>
      <c r="AM85" s="48"/>
      <c r="AN85" s="238" t="s">
        <v>761</v>
      </c>
      <c r="AO85" s="238">
        <v>0</v>
      </c>
      <c r="AQ85" s="472">
        <f t="shared" si="38"/>
        <v>0</v>
      </c>
      <c r="AS85" t="s">
        <v>761</v>
      </c>
      <c r="AT85" t="s">
        <v>2627</v>
      </c>
      <c r="AU85" s="48">
        <v>0</v>
      </c>
      <c r="AV85" s="48">
        <v>0</v>
      </c>
      <c r="AW85" s="48">
        <v>0</v>
      </c>
      <c r="AX85" s="48">
        <v>0</v>
      </c>
      <c r="AY85" s="48">
        <v>0</v>
      </c>
      <c r="AZ85" s="48">
        <v>0</v>
      </c>
      <c r="BA85" s="48">
        <v>0</v>
      </c>
      <c r="BB85" s="48">
        <v>0</v>
      </c>
      <c r="BC85" s="48">
        <v>0</v>
      </c>
      <c r="BD85" s="48">
        <v>0</v>
      </c>
      <c r="BE85" s="48"/>
      <c r="BF85" s="48">
        <f t="shared" si="26"/>
        <v>0</v>
      </c>
      <c r="BG85" s="48"/>
      <c r="BH85" s="48"/>
      <c r="BI85" s="48" t="str">
        <f t="shared" si="39"/>
        <v>06801</v>
      </c>
      <c r="BJ85" s="48">
        <f t="shared" si="40"/>
        <v>0</v>
      </c>
      <c r="BK85" s="628">
        <f t="shared" si="41"/>
        <v>0</v>
      </c>
    </row>
    <row r="86" spans="1:63">
      <c r="A86" s="196">
        <v>79</v>
      </c>
      <c r="B86" s="73" t="s">
        <v>767</v>
      </c>
      <c r="C86" s="73" t="s">
        <v>1586</v>
      </c>
      <c r="D86" s="168">
        <v>0</v>
      </c>
      <c r="E86" s="170"/>
      <c r="F86" s="171">
        <f t="shared" si="27"/>
        <v>0</v>
      </c>
      <c r="G86" s="181"/>
      <c r="H86" s="177">
        <v>0</v>
      </c>
      <c r="I86" s="170"/>
      <c r="J86" s="171">
        <f t="shared" si="28"/>
        <v>0</v>
      </c>
      <c r="K86" s="202"/>
      <c r="L86" s="171">
        <v>0</v>
      </c>
      <c r="M86" s="197"/>
      <c r="N86" s="171">
        <f t="shared" si="29"/>
        <v>0</v>
      </c>
      <c r="O86" s="79"/>
      <c r="P86"/>
      <c r="Q86" s="197"/>
      <c r="R86" s="171">
        <f t="shared" si="30"/>
        <v>0</v>
      </c>
      <c r="S86" s="202">
        <v>0</v>
      </c>
      <c r="T86" s="238">
        <v>0</v>
      </c>
      <c r="U86" s="238"/>
      <c r="V86" s="171">
        <f t="shared" si="31"/>
        <v>0</v>
      </c>
      <c r="W86" s="56"/>
      <c r="X86" s="568">
        <f t="shared" si="32"/>
        <v>0</v>
      </c>
      <c r="Y86" s="569">
        <v>0</v>
      </c>
      <c r="Z86" s="171">
        <f t="shared" si="33"/>
        <v>0</v>
      </c>
      <c r="AA86" s="48"/>
      <c r="AB86" s="238">
        <f t="shared" si="34"/>
        <v>0</v>
      </c>
      <c r="AC86" s="238">
        <v>0</v>
      </c>
      <c r="AD86" s="171">
        <f t="shared" si="35"/>
        <v>0</v>
      </c>
      <c r="AE86" s="238"/>
      <c r="AF86" s="238">
        <f t="shared" si="36"/>
        <v>0</v>
      </c>
      <c r="AG86" s="196">
        <v>79</v>
      </c>
      <c r="AH86" s="73" t="s">
        <v>767</v>
      </c>
      <c r="AI86" s="73" t="s">
        <v>1586</v>
      </c>
      <c r="AJ86" s="238">
        <f t="shared" si="37"/>
        <v>0</v>
      </c>
      <c r="AK86" s="238"/>
      <c r="AL86" s="73" t="s">
        <v>767</v>
      </c>
      <c r="AM86" s="48"/>
      <c r="AN86" s="238" t="s">
        <v>767</v>
      </c>
      <c r="AO86" s="238">
        <v>0</v>
      </c>
      <c r="AQ86" s="472">
        <f t="shared" si="38"/>
        <v>0</v>
      </c>
      <c r="AS86" t="s">
        <v>767</v>
      </c>
      <c r="AT86" t="s">
        <v>2633</v>
      </c>
      <c r="AU86" s="48">
        <v>0</v>
      </c>
      <c r="AV86" s="48">
        <v>0</v>
      </c>
      <c r="AW86" s="48">
        <v>0</v>
      </c>
      <c r="AX86" s="48">
        <v>0</v>
      </c>
      <c r="AY86" s="48">
        <v>0</v>
      </c>
      <c r="AZ86" s="48">
        <v>0</v>
      </c>
      <c r="BA86" s="48">
        <v>0</v>
      </c>
      <c r="BB86" s="48">
        <v>0</v>
      </c>
      <c r="BC86" s="48">
        <v>0</v>
      </c>
      <c r="BD86" s="48">
        <v>0</v>
      </c>
      <c r="BE86" s="48"/>
      <c r="BF86" s="48">
        <f t="shared" si="26"/>
        <v>0</v>
      </c>
      <c r="BG86" s="48"/>
      <c r="BH86" s="48"/>
      <c r="BI86" s="48" t="str">
        <f t="shared" si="39"/>
        <v>34801</v>
      </c>
      <c r="BJ86" s="48">
        <f t="shared" si="40"/>
        <v>0</v>
      </c>
      <c r="BK86" s="628">
        <f t="shared" si="41"/>
        <v>0</v>
      </c>
    </row>
    <row r="87" spans="1:63">
      <c r="A87" s="196">
        <v>80</v>
      </c>
      <c r="B87" s="173" t="s">
        <v>764</v>
      </c>
      <c r="C87" s="73" t="s">
        <v>1601</v>
      </c>
      <c r="D87" s="168">
        <v>0</v>
      </c>
      <c r="E87" s="170"/>
      <c r="F87" s="171">
        <f t="shared" si="27"/>
        <v>0</v>
      </c>
      <c r="G87" s="181"/>
      <c r="H87" s="177">
        <v>0</v>
      </c>
      <c r="I87" s="170"/>
      <c r="J87" s="171">
        <f t="shared" si="28"/>
        <v>0</v>
      </c>
      <c r="K87" s="202"/>
      <c r="L87" s="171">
        <v>0</v>
      </c>
      <c r="M87" s="197"/>
      <c r="N87" s="171">
        <f t="shared" si="29"/>
        <v>0</v>
      </c>
      <c r="O87" s="79"/>
      <c r="P87"/>
      <c r="Q87" s="197"/>
      <c r="R87" s="171">
        <f t="shared" si="30"/>
        <v>0</v>
      </c>
      <c r="S87" s="202">
        <v>0</v>
      </c>
      <c r="T87" s="238">
        <v>0</v>
      </c>
      <c r="U87" s="238"/>
      <c r="V87" s="171">
        <f t="shared" si="31"/>
        <v>0</v>
      </c>
      <c r="W87" s="56"/>
      <c r="X87" s="568">
        <f t="shared" si="32"/>
        <v>0</v>
      </c>
      <c r="Y87" s="569">
        <v>0</v>
      </c>
      <c r="Z87" s="171">
        <f t="shared" si="33"/>
        <v>0</v>
      </c>
      <c r="AA87" s="48"/>
      <c r="AB87" s="238">
        <f t="shared" si="34"/>
        <v>0</v>
      </c>
      <c r="AC87" s="238">
        <v>0</v>
      </c>
      <c r="AD87" s="171">
        <f t="shared" si="35"/>
        <v>0</v>
      </c>
      <c r="AE87" s="238"/>
      <c r="AF87" s="238">
        <f t="shared" si="36"/>
        <v>0</v>
      </c>
      <c r="AG87" s="196">
        <v>80</v>
      </c>
      <c r="AH87" s="173" t="s">
        <v>764</v>
      </c>
      <c r="AI87" s="73" t="s">
        <v>1601</v>
      </c>
      <c r="AJ87" s="238">
        <f t="shared" si="37"/>
        <v>0</v>
      </c>
      <c r="AK87" s="238"/>
      <c r="AL87" s="173" t="s">
        <v>764</v>
      </c>
      <c r="AM87" s="48"/>
      <c r="AN87" s="238" t="s">
        <v>764</v>
      </c>
      <c r="AO87" s="238">
        <v>0</v>
      </c>
      <c r="AQ87" s="472">
        <f t="shared" si="38"/>
        <v>0</v>
      </c>
      <c r="AS87" t="s">
        <v>764</v>
      </c>
      <c r="AT87" t="s">
        <v>2630</v>
      </c>
      <c r="AU87" s="48">
        <v>0</v>
      </c>
      <c r="AV87" s="48">
        <v>0</v>
      </c>
      <c r="AW87" s="48">
        <v>0</v>
      </c>
      <c r="AX87" s="48">
        <v>0</v>
      </c>
      <c r="AY87" s="48">
        <v>0</v>
      </c>
      <c r="AZ87" s="48">
        <v>0</v>
      </c>
      <c r="BA87" s="48">
        <v>0</v>
      </c>
      <c r="BB87" s="48">
        <v>0</v>
      </c>
      <c r="BC87" s="48">
        <v>0</v>
      </c>
      <c r="BD87" s="48">
        <v>0</v>
      </c>
      <c r="BE87" s="48"/>
      <c r="BF87" s="48">
        <f t="shared" si="26"/>
        <v>0</v>
      </c>
      <c r="BG87" s="48"/>
      <c r="BH87" s="48"/>
      <c r="BI87" s="48" t="str">
        <f t="shared" si="39"/>
        <v>18801</v>
      </c>
      <c r="BJ87" s="48">
        <f t="shared" si="40"/>
        <v>0</v>
      </c>
      <c r="BK87" s="628">
        <f t="shared" si="41"/>
        <v>0</v>
      </c>
    </row>
    <row r="88" spans="1:63">
      <c r="A88" s="196">
        <v>81</v>
      </c>
      <c r="B88" s="173" t="s">
        <v>763</v>
      </c>
      <c r="C88" s="73" t="s">
        <v>1602</v>
      </c>
      <c r="D88" s="168"/>
      <c r="E88" s="170"/>
      <c r="F88" s="171"/>
      <c r="G88" s="181"/>
      <c r="H88" s="177"/>
      <c r="I88" s="170"/>
      <c r="J88" s="171"/>
      <c r="K88" s="202"/>
      <c r="L88" s="171">
        <v>0</v>
      </c>
      <c r="M88" s="197"/>
      <c r="N88" s="171">
        <f t="shared" si="29"/>
        <v>0</v>
      </c>
      <c r="O88" s="79"/>
      <c r="P88"/>
      <c r="Q88" s="197"/>
      <c r="R88" s="171">
        <f t="shared" si="30"/>
        <v>0</v>
      </c>
      <c r="S88" s="202">
        <v>0</v>
      </c>
      <c r="T88" s="238">
        <v>0</v>
      </c>
      <c r="U88" s="238"/>
      <c r="V88" s="171">
        <f t="shared" si="31"/>
        <v>0</v>
      </c>
      <c r="W88" s="56"/>
      <c r="X88" s="568">
        <f t="shared" si="32"/>
        <v>0</v>
      </c>
      <c r="Y88" s="569">
        <v>0</v>
      </c>
      <c r="Z88" s="171">
        <f t="shared" si="33"/>
        <v>0</v>
      </c>
      <c r="AA88" s="48"/>
      <c r="AB88" s="238">
        <f t="shared" si="34"/>
        <v>0</v>
      </c>
      <c r="AC88" s="238">
        <v>0</v>
      </c>
      <c r="AD88" s="171">
        <f t="shared" si="35"/>
        <v>0</v>
      </c>
      <c r="AE88" s="238"/>
      <c r="AF88" s="238">
        <f t="shared" si="36"/>
        <v>0</v>
      </c>
      <c r="AG88" s="196">
        <v>81</v>
      </c>
      <c r="AH88" s="173" t="s">
        <v>763</v>
      </c>
      <c r="AI88" s="73" t="s">
        <v>1602</v>
      </c>
      <c r="AJ88" s="238">
        <f t="shared" si="37"/>
        <v>0</v>
      </c>
      <c r="AK88" s="238"/>
      <c r="AL88" s="173" t="s">
        <v>763</v>
      </c>
      <c r="AM88" s="48"/>
      <c r="AN88" s="238" t="s">
        <v>763</v>
      </c>
      <c r="AO88" s="238">
        <v>0</v>
      </c>
      <c r="AQ88" s="472">
        <f t="shared" si="38"/>
        <v>0</v>
      </c>
      <c r="AS88" t="s">
        <v>763</v>
      </c>
      <c r="AT88" t="s">
        <v>2629</v>
      </c>
      <c r="AU88" s="48">
        <v>0</v>
      </c>
      <c r="AV88" s="48">
        <v>0</v>
      </c>
      <c r="AW88" s="48">
        <v>0</v>
      </c>
      <c r="AX88" s="48">
        <v>0</v>
      </c>
      <c r="AY88" s="48">
        <v>0</v>
      </c>
      <c r="AZ88" s="48">
        <v>0</v>
      </c>
      <c r="BA88" s="48">
        <v>0</v>
      </c>
      <c r="BB88" s="48">
        <v>0</v>
      </c>
      <c r="BC88" s="48">
        <v>0</v>
      </c>
      <c r="BD88" s="48">
        <v>0</v>
      </c>
      <c r="BE88" s="48"/>
      <c r="BF88" s="48">
        <f t="shared" si="26"/>
        <v>0</v>
      </c>
      <c r="BG88" s="48"/>
      <c r="BH88" s="48"/>
      <c r="BI88" s="48" t="str">
        <f t="shared" si="39"/>
        <v>17801</v>
      </c>
      <c r="BJ88" s="48">
        <f t="shared" si="40"/>
        <v>0</v>
      </c>
      <c r="BK88" s="628">
        <f t="shared" si="41"/>
        <v>0</v>
      </c>
    </row>
    <row r="89" spans="1:63">
      <c r="A89" s="196">
        <v>82</v>
      </c>
      <c r="B89" s="173" t="s">
        <v>762</v>
      </c>
      <c r="C89" s="73" t="s">
        <v>1587</v>
      </c>
      <c r="D89" s="168"/>
      <c r="E89" s="170"/>
      <c r="F89" s="171"/>
      <c r="G89" s="181"/>
      <c r="H89" s="177"/>
      <c r="I89" s="170"/>
      <c r="J89" s="171"/>
      <c r="K89" s="202"/>
      <c r="L89" s="171">
        <v>0</v>
      </c>
      <c r="M89" s="197"/>
      <c r="N89" s="171">
        <f t="shared" si="29"/>
        <v>0</v>
      </c>
      <c r="O89" s="79"/>
      <c r="P89"/>
      <c r="Q89" s="197"/>
      <c r="R89" s="171">
        <f t="shared" si="30"/>
        <v>0</v>
      </c>
      <c r="S89" s="202">
        <v>0</v>
      </c>
      <c r="T89" s="238">
        <v>0</v>
      </c>
      <c r="U89" s="238"/>
      <c r="V89" s="171">
        <f t="shared" si="31"/>
        <v>0</v>
      </c>
      <c r="W89" s="56"/>
      <c r="X89" s="568">
        <f t="shared" si="32"/>
        <v>0</v>
      </c>
      <c r="Y89" s="569">
        <v>0</v>
      </c>
      <c r="Z89" s="171">
        <f t="shared" si="33"/>
        <v>0</v>
      </c>
      <c r="AA89" s="48"/>
      <c r="AB89" s="238">
        <f t="shared" si="34"/>
        <v>0</v>
      </c>
      <c r="AC89" s="238">
        <v>0</v>
      </c>
      <c r="AD89" s="171">
        <f t="shared" si="35"/>
        <v>0</v>
      </c>
      <c r="AE89" s="238"/>
      <c r="AF89" s="238">
        <f t="shared" si="36"/>
        <v>0</v>
      </c>
      <c r="AG89" s="196">
        <v>82</v>
      </c>
      <c r="AH89" s="173" t="s">
        <v>762</v>
      </c>
      <c r="AI89" s="73" t="s">
        <v>1587</v>
      </c>
      <c r="AJ89" s="238">
        <f t="shared" si="37"/>
        <v>0</v>
      </c>
      <c r="AK89" s="238"/>
      <c r="AL89" s="173" t="s">
        <v>762</v>
      </c>
      <c r="AM89" s="48"/>
      <c r="AN89" s="238" t="s">
        <v>762</v>
      </c>
      <c r="AO89" s="238">
        <v>0</v>
      </c>
      <c r="AQ89" s="472">
        <f t="shared" si="38"/>
        <v>0</v>
      </c>
      <c r="AS89" t="s">
        <v>762</v>
      </c>
      <c r="AT89" t="s">
        <v>2628</v>
      </c>
      <c r="AU89" s="48">
        <v>0</v>
      </c>
      <c r="AV89" s="48">
        <v>0</v>
      </c>
      <c r="AW89" s="48">
        <v>0</v>
      </c>
      <c r="AX89" s="48">
        <v>0</v>
      </c>
      <c r="AY89" s="48">
        <v>0</v>
      </c>
      <c r="AZ89" s="48">
        <v>0</v>
      </c>
      <c r="BA89" s="48">
        <v>0</v>
      </c>
      <c r="BB89" s="48">
        <v>0</v>
      </c>
      <c r="BC89" s="48">
        <v>0</v>
      </c>
      <c r="BD89" s="48">
        <v>0</v>
      </c>
      <c r="BE89" s="48"/>
      <c r="BF89" s="48">
        <f t="shared" si="26"/>
        <v>0</v>
      </c>
      <c r="BG89" s="48"/>
      <c r="BH89" s="48"/>
      <c r="BI89" s="48" t="str">
        <f t="shared" si="39"/>
        <v>11801</v>
      </c>
      <c r="BJ89" s="48">
        <f t="shared" si="40"/>
        <v>0</v>
      </c>
      <c r="BK89" s="628">
        <f t="shared" si="41"/>
        <v>0</v>
      </c>
    </row>
    <row r="90" spans="1:63">
      <c r="A90" s="196">
        <v>83</v>
      </c>
      <c r="B90" s="173" t="s">
        <v>760</v>
      </c>
      <c r="C90" s="73" t="s">
        <v>1599</v>
      </c>
      <c r="D90" s="168"/>
      <c r="E90" s="170"/>
      <c r="F90" s="171"/>
      <c r="G90" s="181"/>
      <c r="H90" s="177"/>
      <c r="I90" s="170"/>
      <c r="J90" s="171"/>
      <c r="K90" s="202"/>
      <c r="L90" s="171">
        <v>0</v>
      </c>
      <c r="M90" s="197"/>
      <c r="N90" s="171">
        <f t="shared" si="29"/>
        <v>0</v>
      </c>
      <c r="O90" s="79"/>
      <c r="P90"/>
      <c r="Q90" s="197"/>
      <c r="R90" s="171">
        <f t="shared" si="30"/>
        <v>0</v>
      </c>
      <c r="S90" s="202">
        <v>0</v>
      </c>
      <c r="T90" s="238">
        <v>0</v>
      </c>
      <c r="U90" s="238">
        <v>0</v>
      </c>
      <c r="V90" s="171">
        <f t="shared" si="31"/>
        <v>0</v>
      </c>
      <c r="W90" s="56"/>
      <c r="X90" s="568">
        <f t="shared" si="32"/>
        <v>0</v>
      </c>
      <c r="Y90" s="569">
        <v>0</v>
      </c>
      <c r="Z90" s="171">
        <f t="shared" si="33"/>
        <v>0</v>
      </c>
      <c r="AA90" s="48"/>
      <c r="AB90" s="238">
        <f t="shared" si="34"/>
        <v>0</v>
      </c>
      <c r="AC90" s="238">
        <v>0</v>
      </c>
      <c r="AD90" s="171">
        <f t="shared" si="35"/>
        <v>0</v>
      </c>
      <c r="AE90" s="238"/>
      <c r="AF90" s="238">
        <f t="shared" si="36"/>
        <v>0</v>
      </c>
      <c r="AG90" s="196">
        <v>83</v>
      </c>
      <c r="AH90" s="173" t="s">
        <v>760</v>
      </c>
      <c r="AI90" s="73" t="s">
        <v>1599</v>
      </c>
      <c r="AJ90" s="238">
        <f t="shared" si="37"/>
        <v>0</v>
      </c>
      <c r="AK90" s="238"/>
      <c r="AL90" s="173" t="s">
        <v>760</v>
      </c>
      <c r="AM90" s="48"/>
      <c r="AN90" s="238" t="s">
        <v>760</v>
      </c>
      <c r="AO90" s="238">
        <v>0</v>
      </c>
      <c r="AQ90" s="472">
        <f t="shared" si="38"/>
        <v>0</v>
      </c>
      <c r="AS90" t="s">
        <v>760</v>
      </c>
      <c r="AT90" t="s">
        <v>2672</v>
      </c>
      <c r="AU90" s="48">
        <v>0</v>
      </c>
      <c r="AV90" s="48">
        <v>0</v>
      </c>
      <c r="AW90" s="48">
        <v>0</v>
      </c>
      <c r="AX90" s="48">
        <v>0</v>
      </c>
      <c r="AY90" s="48">
        <v>0</v>
      </c>
      <c r="AZ90" s="48">
        <v>0</v>
      </c>
      <c r="BA90" s="48">
        <v>0</v>
      </c>
      <c r="BB90" s="48">
        <v>0</v>
      </c>
      <c r="BC90" s="48">
        <v>0</v>
      </c>
      <c r="BD90" s="48">
        <v>0</v>
      </c>
      <c r="BE90" s="48"/>
      <c r="BF90" s="48">
        <f t="shared" si="26"/>
        <v>0</v>
      </c>
      <c r="BG90" s="48"/>
      <c r="BH90" s="48"/>
      <c r="BI90" s="48" t="str">
        <f t="shared" si="39"/>
        <v>04801</v>
      </c>
      <c r="BJ90" s="48">
        <f t="shared" si="40"/>
        <v>0</v>
      </c>
      <c r="BK90" s="628">
        <f t="shared" si="41"/>
        <v>0</v>
      </c>
    </row>
    <row r="91" spans="1:63">
      <c r="A91" s="196">
        <v>84</v>
      </c>
      <c r="B91" s="73" t="s">
        <v>765</v>
      </c>
      <c r="C91" s="73" t="s">
        <v>1600</v>
      </c>
      <c r="D91" s="168"/>
      <c r="E91" s="170"/>
      <c r="F91" s="171"/>
      <c r="G91" s="181"/>
      <c r="H91" s="177"/>
      <c r="I91" s="170"/>
      <c r="J91" s="171"/>
      <c r="K91" s="202"/>
      <c r="L91" s="171">
        <v>0</v>
      </c>
      <c r="M91" s="197"/>
      <c r="N91" s="171">
        <f t="shared" si="29"/>
        <v>0</v>
      </c>
      <c r="O91" s="79"/>
      <c r="P91"/>
      <c r="Q91" s="197"/>
      <c r="R91" s="171">
        <f t="shared" si="30"/>
        <v>0</v>
      </c>
      <c r="S91" s="202">
        <v>0</v>
      </c>
      <c r="T91" s="238">
        <v>0</v>
      </c>
      <c r="U91" s="238"/>
      <c r="V91" s="171">
        <f t="shared" si="31"/>
        <v>0</v>
      </c>
      <c r="W91" s="56"/>
      <c r="X91" s="568">
        <f t="shared" si="32"/>
        <v>0</v>
      </c>
      <c r="Y91" s="569">
        <v>0</v>
      </c>
      <c r="Z91" s="171">
        <f t="shared" si="33"/>
        <v>0</v>
      </c>
      <c r="AA91" s="48"/>
      <c r="AB91" s="238">
        <f t="shared" si="34"/>
        <v>0</v>
      </c>
      <c r="AC91" s="238">
        <v>0</v>
      </c>
      <c r="AD91" s="171">
        <f t="shared" si="35"/>
        <v>0</v>
      </c>
      <c r="AE91" s="238"/>
      <c r="AF91" s="238">
        <f t="shared" si="36"/>
        <v>0</v>
      </c>
      <c r="AG91" s="196">
        <v>84</v>
      </c>
      <c r="AH91" s="73" t="s">
        <v>765</v>
      </c>
      <c r="AI91" s="73" t="s">
        <v>1600</v>
      </c>
      <c r="AJ91" s="238">
        <f t="shared" si="37"/>
        <v>0</v>
      </c>
      <c r="AK91" s="238"/>
      <c r="AL91" s="73" t="s">
        <v>765</v>
      </c>
      <c r="AM91" s="48"/>
      <c r="AN91" s="238" t="s">
        <v>765</v>
      </c>
      <c r="AO91" s="238">
        <v>0</v>
      </c>
      <c r="AQ91" s="472">
        <f t="shared" si="38"/>
        <v>0</v>
      </c>
      <c r="AS91" t="s">
        <v>765</v>
      </c>
      <c r="AT91" t="s">
        <v>2631</v>
      </c>
      <c r="AU91" s="48">
        <v>0</v>
      </c>
      <c r="AV91" s="48">
        <v>0</v>
      </c>
      <c r="AW91" s="48">
        <v>0</v>
      </c>
      <c r="AX91" s="48">
        <v>0</v>
      </c>
      <c r="AY91" s="48">
        <v>0</v>
      </c>
      <c r="AZ91" s="48">
        <v>0</v>
      </c>
      <c r="BA91" s="48">
        <v>0</v>
      </c>
      <c r="BB91" s="48">
        <v>0</v>
      </c>
      <c r="BC91" s="48">
        <v>0</v>
      </c>
      <c r="BD91" s="48">
        <v>0</v>
      </c>
      <c r="BE91" s="48"/>
      <c r="BF91" s="48">
        <f t="shared" si="26"/>
        <v>0</v>
      </c>
      <c r="BG91" s="48"/>
      <c r="BH91" s="48"/>
      <c r="BI91" s="48" t="str">
        <f t="shared" si="39"/>
        <v>29801</v>
      </c>
      <c r="BJ91" s="48">
        <f t="shared" si="40"/>
        <v>0</v>
      </c>
      <c r="BK91" s="628">
        <f t="shared" si="41"/>
        <v>0</v>
      </c>
    </row>
    <row r="92" spans="1:63">
      <c r="A92" s="196">
        <v>85</v>
      </c>
      <c r="B92" s="73" t="s">
        <v>418</v>
      </c>
      <c r="C92" s="139" t="s">
        <v>419</v>
      </c>
      <c r="D92" s="168">
        <v>0</v>
      </c>
      <c r="E92" s="170">
        <v>4173.6900000000005</v>
      </c>
      <c r="F92" s="171">
        <f t="shared" ref="F92:F118" si="42">+D92+E92</f>
        <v>4173.6900000000005</v>
      </c>
      <c r="G92" s="181">
        <v>5319.9</v>
      </c>
      <c r="H92" s="178">
        <v>0</v>
      </c>
      <c r="I92" s="170">
        <v>6343.1299999999992</v>
      </c>
      <c r="J92" s="171">
        <f t="shared" ref="J92:J118" si="43">+H92+I92</f>
        <v>6343.1299999999992</v>
      </c>
      <c r="K92" s="202">
        <v>4726.04</v>
      </c>
      <c r="L92" s="171">
        <v>1617.0899999999992</v>
      </c>
      <c r="M92" s="197">
        <v>4964.25</v>
      </c>
      <c r="N92" s="171">
        <f t="shared" si="29"/>
        <v>6581.3399999999992</v>
      </c>
      <c r="O92" s="202">
        <v>6554.11</v>
      </c>
      <c r="P92" s="238">
        <v>27.229999999999563</v>
      </c>
      <c r="Q92" s="197">
        <v>6162.79</v>
      </c>
      <c r="R92" s="171">
        <f t="shared" si="30"/>
        <v>6190.0199999999995</v>
      </c>
      <c r="S92" s="202">
        <v>7080.1799999999994</v>
      </c>
      <c r="T92" s="238">
        <v>0</v>
      </c>
      <c r="U92" s="238">
        <v>7066.31</v>
      </c>
      <c r="V92" s="171">
        <f t="shared" si="31"/>
        <v>7066.31</v>
      </c>
      <c r="W92" s="56">
        <v>7179.8000000000011</v>
      </c>
      <c r="X92" s="568">
        <f t="shared" si="32"/>
        <v>0</v>
      </c>
      <c r="Y92" s="569">
        <v>7345.42</v>
      </c>
      <c r="Z92" s="171">
        <f t="shared" si="33"/>
        <v>7345.42</v>
      </c>
      <c r="AA92" s="48">
        <v>8742.65</v>
      </c>
      <c r="AB92" s="238">
        <f t="shared" si="34"/>
        <v>0</v>
      </c>
      <c r="AC92" s="238">
        <v>8572.36</v>
      </c>
      <c r="AD92" s="171">
        <f t="shared" si="35"/>
        <v>8572.36</v>
      </c>
      <c r="AE92" s="238"/>
      <c r="AF92" s="238">
        <f t="shared" si="36"/>
        <v>0</v>
      </c>
      <c r="AG92" s="196">
        <v>85</v>
      </c>
      <c r="AH92" s="73" t="s">
        <v>418</v>
      </c>
      <c r="AI92" s="139" t="s">
        <v>419</v>
      </c>
      <c r="AJ92" s="238">
        <f t="shared" si="37"/>
        <v>0</v>
      </c>
      <c r="AK92" s="238"/>
      <c r="AL92" s="358" t="s">
        <v>418</v>
      </c>
      <c r="AM92" s="48">
        <v>8742.65</v>
      </c>
      <c r="AN92" s="238" t="s">
        <v>418</v>
      </c>
      <c r="AO92" s="238">
        <v>8572.36</v>
      </c>
      <c r="AQ92" s="472">
        <f t="shared" si="38"/>
        <v>0</v>
      </c>
      <c r="AS92" t="s">
        <v>418</v>
      </c>
      <c r="AT92" t="s">
        <v>1792</v>
      </c>
      <c r="AU92" s="48">
        <v>6660.09</v>
      </c>
      <c r="AV92" s="48">
        <v>0</v>
      </c>
      <c r="AW92" s="48">
        <v>0</v>
      </c>
      <c r="AX92" s="48">
        <v>0</v>
      </c>
      <c r="AY92" s="48">
        <v>702.05</v>
      </c>
      <c r="AZ92" s="48">
        <v>269.79000000000002</v>
      </c>
      <c r="BA92" s="48">
        <v>243.59</v>
      </c>
      <c r="BB92" s="48">
        <v>38.54</v>
      </c>
      <c r="BC92" s="48">
        <v>27.75</v>
      </c>
      <c r="BD92" s="48">
        <v>630.54999999999995</v>
      </c>
      <c r="BE92" s="48"/>
      <c r="BF92" s="48">
        <f t="shared" si="26"/>
        <v>8572.36</v>
      </c>
      <c r="BG92" s="48"/>
      <c r="BH92" s="48"/>
      <c r="BI92" s="48" t="str">
        <f t="shared" si="39"/>
        <v>21036</v>
      </c>
      <c r="BJ92" s="48">
        <f t="shared" si="40"/>
        <v>8572.36</v>
      </c>
      <c r="BK92" s="628">
        <f t="shared" si="41"/>
        <v>0</v>
      </c>
    </row>
    <row r="93" spans="1:63">
      <c r="A93" s="196">
        <v>86</v>
      </c>
      <c r="B93" s="73" t="s">
        <v>564</v>
      </c>
      <c r="C93" s="139" t="s">
        <v>565</v>
      </c>
      <c r="D93" s="168">
        <v>177452.33000000019</v>
      </c>
      <c r="E93" s="170">
        <v>1596736.03</v>
      </c>
      <c r="F93" s="171">
        <f t="shared" si="42"/>
        <v>1774188.3600000003</v>
      </c>
      <c r="G93" s="181">
        <v>2060807.97</v>
      </c>
      <c r="H93" s="178">
        <v>0</v>
      </c>
      <c r="I93" s="170">
        <v>2237790.2799999998</v>
      </c>
      <c r="J93" s="171">
        <f t="shared" si="43"/>
        <v>2237790.2799999998</v>
      </c>
      <c r="K93" s="202">
        <v>2078693.1300000004</v>
      </c>
      <c r="L93" s="171">
        <v>159097.14999999944</v>
      </c>
      <c r="M93" s="197">
        <v>2242836.91</v>
      </c>
      <c r="N93" s="171">
        <f t="shared" si="29"/>
        <v>2401934.0599999996</v>
      </c>
      <c r="O93" s="202">
        <v>2038303.22</v>
      </c>
      <c r="P93" s="238">
        <v>363630.83999999962</v>
      </c>
      <c r="Q93" s="197">
        <v>2405089.75</v>
      </c>
      <c r="R93" s="171">
        <f t="shared" si="30"/>
        <v>2768720.59</v>
      </c>
      <c r="S93" s="202">
        <v>2060175.2499999995</v>
      </c>
      <c r="T93" s="238">
        <v>708545.34000000032</v>
      </c>
      <c r="U93" s="238">
        <v>2451853.0099999998</v>
      </c>
      <c r="V93" s="171">
        <f t="shared" si="31"/>
        <v>3160398.35</v>
      </c>
      <c r="W93" s="56">
        <v>2084228.6600000004</v>
      </c>
      <c r="X93" s="568">
        <f t="shared" si="32"/>
        <v>1076169.6899999997</v>
      </c>
      <c r="Y93" s="569">
        <v>2628291.4499999993</v>
      </c>
      <c r="Z93" s="171">
        <f t="shared" si="33"/>
        <v>3704461.1399999987</v>
      </c>
      <c r="AA93" s="48">
        <v>3069277.12</v>
      </c>
      <c r="AB93" s="238">
        <f t="shared" si="34"/>
        <v>635184.01999999862</v>
      </c>
      <c r="AC93" s="238">
        <v>2577230.79</v>
      </c>
      <c r="AD93" s="171">
        <f t="shared" si="35"/>
        <v>3212414.8099999987</v>
      </c>
      <c r="AE93" s="238"/>
      <c r="AF93" s="238">
        <f t="shared" si="36"/>
        <v>0</v>
      </c>
      <c r="AG93" s="196">
        <v>86</v>
      </c>
      <c r="AH93" s="73" t="s">
        <v>564</v>
      </c>
      <c r="AI93" s="139" t="s">
        <v>565</v>
      </c>
      <c r="AJ93" s="238">
        <f t="shared" si="37"/>
        <v>0</v>
      </c>
      <c r="AK93" s="238"/>
      <c r="AL93" s="358" t="s">
        <v>564</v>
      </c>
      <c r="AM93" s="48">
        <v>3069277.12</v>
      </c>
      <c r="AN93" s="238" t="s">
        <v>564</v>
      </c>
      <c r="AO93" s="238">
        <v>2577230.79</v>
      </c>
      <c r="AQ93" s="472">
        <f t="shared" si="38"/>
        <v>0</v>
      </c>
      <c r="AS93" t="s">
        <v>564</v>
      </c>
      <c r="AT93" t="s">
        <v>1864</v>
      </c>
      <c r="AU93" s="48">
        <v>1871754.75</v>
      </c>
      <c r="AV93" s="48">
        <v>128511.3</v>
      </c>
      <c r="AW93" s="48">
        <v>7469.6</v>
      </c>
      <c r="AX93" s="48">
        <v>0</v>
      </c>
      <c r="AY93" s="48">
        <v>274147.65000000002</v>
      </c>
      <c r="AZ93" s="48">
        <v>107103.05</v>
      </c>
      <c r="BA93" s="48">
        <v>54144.59</v>
      </c>
      <c r="BB93" s="48">
        <v>117230.49</v>
      </c>
      <c r="BC93" s="48">
        <v>10453.08</v>
      </c>
      <c r="BD93" s="48">
        <v>6416.28</v>
      </c>
      <c r="BE93" s="48"/>
      <c r="BF93" s="48">
        <f t="shared" si="26"/>
        <v>2577230.79</v>
      </c>
      <c r="BG93" s="48"/>
      <c r="BH93" s="48"/>
      <c r="BI93" s="48" t="str">
        <f t="shared" si="39"/>
        <v>31002</v>
      </c>
      <c r="BJ93" s="48">
        <f t="shared" si="40"/>
        <v>2577230.79</v>
      </c>
      <c r="BK93" s="628">
        <f t="shared" si="41"/>
        <v>0</v>
      </c>
    </row>
    <row r="94" spans="1:63">
      <c r="A94" s="196">
        <v>87</v>
      </c>
      <c r="B94" s="73" t="s">
        <v>222</v>
      </c>
      <c r="C94" s="139" t="s">
        <v>801</v>
      </c>
      <c r="D94" s="168">
        <v>144749.91999999969</v>
      </c>
      <c r="E94" s="170">
        <v>1706088.6999999997</v>
      </c>
      <c r="F94" s="171">
        <f t="shared" si="42"/>
        <v>1850838.6199999994</v>
      </c>
      <c r="G94" s="181">
        <v>1202621.1100000001</v>
      </c>
      <c r="H94" s="178">
        <v>648217.50999999931</v>
      </c>
      <c r="I94" s="170">
        <v>2385497.5200000005</v>
      </c>
      <c r="J94" s="171">
        <f t="shared" si="43"/>
        <v>3033715.03</v>
      </c>
      <c r="K94" s="202">
        <v>2401826.7399999993</v>
      </c>
      <c r="L94" s="171">
        <v>631888.2900000005</v>
      </c>
      <c r="M94" s="197">
        <v>2313360.0499999998</v>
      </c>
      <c r="N94" s="171">
        <f t="shared" si="29"/>
        <v>2945248.3400000003</v>
      </c>
      <c r="O94" s="202">
        <v>3346936.4000000004</v>
      </c>
      <c r="P94" s="238">
        <v>0</v>
      </c>
      <c r="Q94" s="197">
        <v>2530760.19</v>
      </c>
      <c r="R94" s="171">
        <f t="shared" si="30"/>
        <v>2530760.19</v>
      </c>
      <c r="S94" s="202">
        <v>2689356.48</v>
      </c>
      <c r="T94" s="238">
        <v>0</v>
      </c>
      <c r="U94" s="238">
        <v>2656544.9700000002</v>
      </c>
      <c r="V94" s="171">
        <f t="shared" si="31"/>
        <v>2656544.9700000002</v>
      </c>
      <c r="W94" s="56">
        <v>2662319.7700000005</v>
      </c>
      <c r="X94" s="568">
        <f t="shared" si="32"/>
        <v>0</v>
      </c>
      <c r="Y94" s="569">
        <v>2771419.2700000005</v>
      </c>
      <c r="Z94" s="171">
        <f t="shared" si="33"/>
        <v>2771419.2700000005</v>
      </c>
      <c r="AA94" s="48">
        <v>2784398.850000001</v>
      </c>
      <c r="AB94" s="238">
        <f t="shared" si="34"/>
        <v>0</v>
      </c>
      <c r="AC94" s="238">
        <v>2704359.45</v>
      </c>
      <c r="AD94" s="171">
        <f t="shared" si="35"/>
        <v>2704359.45</v>
      </c>
      <c r="AE94" s="238"/>
      <c r="AF94" s="238">
        <f t="shared" si="36"/>
        <v>0</v>
      </c>
      <c r="AG94" s="196">
        <v>87</v>
      </c>
      <c r="AH94" s="73" t="s">
        <v>222</v>
      </c>
      <c r="AI94" s="139" t="s">
        <v>801</v>
      </c>
      <c r="AJ94" s="238">
        <f t="shared" si="37"/>
        <v>0</v>
      </c>
      <c r="AK94" s="238"/>
      <c r="AL94" s="358" t="s">
        <v>222</v>
      </c>
      <c r="AM94" s="48">
        <v>2784398.850000001</v>
      </c>
      <c r="AN94" s="238" t="s">
        <v>222</v>
      </c>
      <c r="AO94" s="238">
        <v>2704359.45</v>
      </c>
      <c r="AQ94" s="472">
        <f t="shared" si="38"/>
        <v>0</v>
      </c>
      <c r="AS94" t="s">
        <v>222</v>
      </c>
      <c r="AT94" t="s">
        <v>1690</v>
      </c>
      <c r="AU94" s="48">
        <v>1703402.62</v>
      </c>
      <c r="AV94" s="48">
        <v>186659.48</v>
      </c>
      <c r="AW94" s="48">
        <v>20034.84</v>
      </c>
      <c r="AX94" s="48">
        <v>108456.78</v>
      </c>
      <c r="AY94" s="48">
        <v>364439.32</v>
      </c>
      <c r="AZ94" s="48">
        <v>129397.2</v>
      </c>
      <c r="BA94" s="48">
        <v>66954.09</v>
      </c>
      <c r="BB94" s="48">
        <v>103947.5</v>
      </c>
      <c r="BC94" s="48">
        <v>10468.52</v>
      </c>
      <c r="BD94" s="48">
        <v>10599.1</v>
      </c>
      <c r="BE94" s="48"/>
      <c r="BF94" s="48">
        <f t="shared" si="26"/>
        <v>2704359.45</v>
      </c>
      <c r="BG94" s="48"/>
      <c r="BH94" s="48"/>
      <c r="BI94" s="48" t="str">
        <f t="shared" si="39"/>
        <v>06114</v>
      </c>
      <c r="BJ94" s="48">
        <f t="shared" si="40"/>
        <v>2704359.45</v>
      </c>
      <c r="BK94" s="628">
        <f t="shared" si="41"/>
        <v>0</v>
      </c>
    </row>
    <row r="95" spans="1:63">
      <c r="A95" s="196">
        <v>88</v>
      </c>
      <c r="B95" s="73" t="s">
        <v>632</v>
      </c>
      <c r="C95" s="139" t="s">
        <v>804</v>
      </c>
      <c r="D95" s="168">
        <v>0</v>
      </c>
      <c r="E95" s="170">
        <v>2845.8999999999996</v>
      </c>
      <c r="F95" s="171">
        <f t="shared" si="42"/>
        <v>2845.8999999999996</v>
      </c>
      <c r="G95" s="181">
        <v>2859.67</v>
      </c>
      <c r="H95" s="178">
        <v>0</v>
      </c>
      <c r="I95" s="170">
        <v>4318.3999999999996</v>
      </c>
      <c r="J95" s="171">
        <f t="shared" si="43"/>
        <v>4318.3999999999996</v>
      </c>
      <c r="K95" s="202">
        <v>5664.46</v>
      </c>
      <c r="L95" s="171">
        <v>0</v>
      </c>
      <c r="M95" s="197">
        <v>4354.3599999999997</v>
      </c>
      <c r="N95" s="171">
        <f t="shared" si="29"/>
        <v>4354.3599999999997</v>
      </c>
      <c r="O95" s="202">
        <v>5072.6900000000005</v>
      </c>
      <c r="P95" s="238">
        <v>0</v>
      </c>
      <c r="Q95" s="197">
        <v>4753.1399999999994</v>
      </c>
      <c r="R95" s="171">
        <f t="shared" si="30"/>
        <v>4753.1399999999994</v>
      </c>
      <c r="S95" s="202">
        <v>5153.53</v>
      </c>
      <c r="T95" s="238">
        <v>0</v>
      </c>
      <c r="U95" s="238">
        <v>4998.25</v>
      </c>
      <c r="V95" s="171">
        <f t="shared" si="31"/>
        <v>4998.25</v>
      </c>
      <c r="W95" s="56">
        <v>4669.87</v>
      </c>
      <c r="X95" s="568">
        <f t="shared" si="32"/>
        <v>328.38000000000011</v>
      </c>
      <c r="Y95" s="569">
        <v>5074.83</v>
      </c>
      <c r="Z95" s="171">
        <f t="shared" si="33"/>
        <v>5403.21</v>
      </c>
      <c r="AA95" s="48">
        <v>4858.71</v>
      </c>
      <c r="AB95" s="238">
        <f t="shared" si="34"/>
        <v>544.5</v>
      </c>
      <c r="AC95" s="238">
        <v>5132.17</v>
      </c>
      <c r="AD95" s="171">
        <f t="shared" si="35"/>
        <v>5676.67</v>
      </c>
      <c r="AE95" s="238"/>
      <c r="AF95" s="238">
        <f t="shared" si="36"/>
        <v>0</v>
      </c>
      <c r="AG95" s="196">
        <v>88</v>
      </c>
      <c r="AH95" s="73" t="s">
        <v>632</v>
      </c>
      <c r="AI95" s="139" t="s">
        <v>804</v>
      </c>
      <c r="AJ95" s="238">
        <f t="shared" si="37"/>
        <v>0</v>
      </c>
      <c r="AK95" s="238"/>
      <c r="AL95" s="358" t="s">
        <v>632</v>
      </c>
      <c r="AM95" s="48">
        <v>4858.71</v>
      </c>
      <c r="AN95" s="238" t="s">
        <v>632</v>
      </c>
      <c r="AO95" s="238">
        <v>5132.17</v>
      </c>
      <c r="AQ95" s="472">
        <f t="shared" si="38"/>
        <v>0</v>
      </c>
      <c r="AS95" t="s">
        <v>632</v>
      </c>
      <c r="AT95" t="s">
        <v>1899</v>
      </c>
      <c r="AU95" s="48">
        <v>4256.6000000000004</v>
      </c>
      <c r="AV95" s="48">
        <v>0</v>
      </c>
      <c r="AW95" s="48">
        <v>0</v>
      </c>
      <c r="AX95" s="48">
        <v>0</v>
      </c>
      <c r="AY95" s="48">
        <v>308.23</v>
      </c>
      <c r="AZ95" s="48">
        <v>379.25</v>
      </c>
      <c r="BA95" s="48">
        <v>174.22</v>
      </c>
      <c r="BB95" s="48">
        <v>0</v>
      </c>
      <c r="BC95" s="48">
        <v>13.87</v>
      </c>
      <c r="BD95" s="48">
        <v>0</v>
      </c>
      <c r="BE95" s="48"/>
      <c r="BF95" s="48">
        <f t="shared" si="26"/>
        <v>5132.17</v>
      </c>
      <c r="BG95" s="48"/>
      <c r="BH95" s="48"/>
      <c r="BI95" s="48" t="str">
        <f t="shared" si="39"/>
        <v>33205</v>
      </c>
      <c r="BJ95" s="48">
        <f t="shared" si="40"/>
        <v>5132.17</v>
      </c>
      <c r="BK95" s="628">
        <f t="shared" si="41"/>
        <v>0</v>
      </c>
    </row>
    <row r="96" spans="1:63">
      <c r="A96" s="196">
        <v>89</v>
      </c>
      <c r="B96" s="73" t="s">
        <v>340</v>
      </c>
      <c r="C96" s="139" t="s">
        <v>341</v>
      </c>
      <c r="D96" s="168">
        <v>108354.80999999994</v>
      </c>
      <c r="E96" s="170">
        <v>1661018.2500000002</v>
      </c>
      <c r="F96" s="171">
        <f t="shared" si="42"/>
        <v>1769373.06</v>
      </c>
      <c r="G96" s="181">
        <v>1440632</v>
      </c>
      <c r="H96" s="178">
        <v>328741.06000000006</v>
      </c>
      <c r="I96" s="170">
        <v>2292388.9700000002</v>
      </c>
      <c r="J96" s="171">
        <f t="shared" si="43"/>
        <v>2621130.0300000003</v>
      </c>
      <c r="K96" s="202">
        <v>2368440</v>
      </c>
      <c r="L96" s="171">
        <v>252690.03000000026</v>
      </c>
      <c r="M96" s="197">
        <v>2250711.8899999997</v>
      </c>
      <c r="N96" s="171">
        <f t="shared" si="29"/>
        <v>2503401.92</v>
      </c>
      <c r="O96" s="202">
        <v>2291520</v>
      </c>
      <c r="P96" s="238">
        <v>211881.91999999993</v>
      </c>
      <c r="Q96" s="197">
        <v>2497063.98</v>
      </c>
      <c r="R96" s="171">
        <f t="shared" si="30"/>
        <v>2708945.9</v>
      </c>
      <c r="S96" s="202">
        <v>2573000</v>
      </c>
      <c r="T96" s="238">
        <v>135945.89999999991</v>
      </c>
      <c r="U96" s="238">
        <v>2615104.5499999998</v>
      </c>
      <c r="V96" s="171">
        <f t="shared" si="31"/>
        <v>2751050.4499999997</v>
      </c>
      <c r="W96" s="56">
        <v>2809220</v>
      </c>
      <c r="X96" s="568">
        <f t="shared" si="32"/>
        <v>0</v>
      </c>
      <c r="Y96" s="569">
        <v>2829938.8800000004</v>
      </c>
      <c r="Z96" s="171">
        <f t="shared" si="33"/>
        <v>2829938.8800000004</v>
      </c>
      <c r="AA96" s="48">
        <v>2870350</v>
      </c>
      <c r="AB96" s="238">
        <f t="shared" si="34"/>
        <v>0</v>
      </c>
      <c r="AC96" s="238">
        <v>2789504.9299999997</v>
      </c>
      <c r="AD96" s="171">
        <f t="shared" si="35"/>
        <v>2789504.9299999997</v>
      </c>
      <c r="AE96" s="238"/>
      <c r="AF96" s="238">
        <f t="shared" si="36"/>
        <v>0</v>
      </c>
      <c r="AG96" s="196">
        <v>89</v>
      </c>
      <c r="AH96" s="73" t="s">
        <v>340</v>
      </c>
      <c r="AI96" s="139" t="s">
        <v>341</v>
      </c>
      <c r="AJ96" s="238">
        <f t="shared" si="37"/>
        <v>0</v>
      </c>
      <c r="AK96" s="238"/>
      <c r="AL96" s="358" t="s">
        <v>340</v>
      </c>
      <c r="AM96" s="48">
        <v>2870350</v>
      </c>
      <c r="AN96" s="238" t="s">
        <v>340</v>
      </c>
      <c r="AO96" s="238">
        <v>2789504.9299999997</v>
      </c>
      <c r="AQ96" s="472">
        <f t="shared" si="38"/>
        <v>0</v>
      </c>
      <c r="AS96" t="s">
        <v>340</v>
      </c>
      <c r="AT96" t="s">
        <v>1750</v>
      </c>
      <c r="AU96" s="48">
        <v>1846765.54</v>
      </c>
      <c r="AV96" s="48">
        <v>111045.15</v>
      </c>
      <c r="AW96" s="48">
        <v>11441.05</v>
      </c>
      <c r="AX96" s="48">
        <v>0</v>
      </c>
      <c r="AY96" s="48">
        <v>327887.59999999998</v>
      </c>
      <c r="AZ96" s="48">
        <v>169994.34</v>
      </c>
      <c r="BA96" s="48">
        <v>106143.07</v>
      </c>
      <c r="BB96" s="48">
        <v>191598.68</v>
      </c>
      <c r="BC96" s="48">
        <v>10373.950000000001</v>
      </c>
      <c r="BD96" s="48">
        <v>14255.55</v>
      </c>
      <c r="BE96" s="48"/>
      <c r="BF96" s="48">
        <f t="shared" si="26"/>
        <v>2789504.9299999997</v>
      </c>
      <c r="BG96" s="48"/>
      <c r="BH96" s="48"/>
      <c r="BI96" s="48" t="str">
        <f t="shared" si="39"/>
        <v>17210</v>
      </c>
      <c r="BJ96" s="48">
        <f t="shared" si="40"/>
        <v>2789504.9299999997</v>
      </c>
      <c r="BK96" s="628">
        <f t="shared" si="41"/>
        <v>0</v>
      </c>
    </row>
    <row r="97" spans="1:63">
      <c r="A97" s="196">
        <v>90</v>
      </c>
      <c r="B97" s="73" t="s">
        <v>673</v>
      </c>
      <c r="C97" s="139" t="s">
        <v>674</v>
      </c>
      <c r="D97" s="168">
        <v>0</v>
      </c>
      <c r="E97" s="170">
        <v>321900.28999999998</v>
      </c>
      <c r="F97" s="171">
        <f t="shared" si="42"/>
        <v>321900.28999999998</v>
      </c>
      <c r="G97" s="181">
        <v>190969.7</v>
      </c>
      <c r="H97" s="178">
        <v>130930.58999999997</v>
      </c>
      <c r="I97" s="170">
        <v>436880.08</v>
      </c>
      <c r="J97" s="171">
        <f t="shared" si="43"/>
        <v>567810.66999999993</v>
      </c>
      <c r="K97" s="202">
        <v>573033.88000000012</v>
      </c>
      <c r="L97" s="171">
        <v>0</v>
      </c>
      <c r="M97" s="197">
        <v>443905.46</v>
      </c>
      <c r="N97" s="171">
        <f t="shared" si="29"/>
        <v>443905.46</v>
      </c>
      <c r="O97" s="202">
        <v>233403.94</v>
      </c>
      <c r="P97" s="238">
        <v>210501.52000000002</v>
      </c>
      <c r="Q97" s="197">
        <v>503618.13</v>
      </c>
      <c r="R97" s="171">
        <f t="shared" si="30"/>
        <v>714119.65</v>
      </c>
      <c r="S97" s="202">
        <v>455631.68999999989</v>
      </c>
      <c r="T97" s="238">
        <v>258487.96000000014</v>
      </c>
      <c r="U97" s="238">
        <v>509330.59</v>
      </c>
      <c r="V97" s="171">
        <f t="shared" si="31"/>
        <v>767818.55000000016</v>
      </c>
      <c r="W97" s="56">
        <v>1384750.8699999999</v>
      </c>
      <c r="X97" s="568">
        <f t="shared" si="32"/>
        <v>0</v>
      </c>
      <c r="Y97" s="569">
        <v>547944.95000000007</v>
      </c>
      <c r="Z97" s="171">
        <f t="shared" si="33"/>
        <v>547944.95000000007</v>
      </c>
      <c r="AA97" s="48">
        <v>708486.91</v>
      </c>
      <c r="AB97" s="238">
        <f t="shared" si="34"/>
        <v>0</v>
      </c>
      <c r="AC97" s="238">
        <v>532060.93999999994</v>
      </c>
      <c r="AD97" s="171">
        <f t="shared" si="35"/>
        <v>532060.93999999994</v>
      </c>
      <c r="AE97" s="238"/>
      <c r="AF97" s="238">
        <f t="shared" si="36"/>
        <v>0</v>
      </c>
      <c r="AG97" s="196">
        <v>90</v>
      </c>
      <c r="AH97" s="73" t="s">
        <v>673</v>
      </c>
      <c r="AI97" s="139" t="s">
        <v>674</v>
      </c>
      <c r="AJ97" s="238">
        <f t="shared" si="37"/>
        <v>0</v>
      </c>
      <c r="AK97" s="238"/>
      <c r="AL97" s="358" t="s">
        <v>673</v>
      </c>
      <c r="AM97" s="48">
        <v>708486.91</v>
      </c>
      <c r="AN97" s="238" t="s">
        <v>673</v>
      </c>
      <c r="AO97" s="238">
        <v>532060.93999999994</v>
      </c>
      <c r="AQ97" s="472">
        <f t="shared" si="38"/>
        <v>0</v>
      </c>
      <c r="AS97" t="s">
        <v>673</v>
      </c>
      <c r="AT97" t="s">
        <v>1922</v>
      </c>
      <c r="AU97" s="48">
        <v>352610.5</v>
      </c>
      <c r="AV97" s="48">
        <v>37460.51</v>
      </c>
      <c r="AW97" s="48">
        <v>8030.41</v>
      </c>
      <c r="AX97" s="48">
        <v>0</v>
      </c>
      <c r="AY97" s="48">
        <v>66934.899999999994</v>
      </c>
      <c r="AZ97" s="48">
        <v>25442.69</v>
      </c>
      <c r="BA97" s="48">
        <v>14127.56</v>
      </c>
      <c r="BB97" s="48">
        <v>13001.6</v>
      </c>
      <c r="BC97" s="48">
        <v>2129.35</v>
      </c>
      <c r="BD97" s="48">
        <v>12323.42</v>
      </c>
      <c r="BE97" s="48"/>
      <c r="BF97" s="48">
        <f t="shared" si="26"/>
        <v>532060.93999999994</v>
      </c>
      <c r="BG97" s="48"/>
      <c r="BH97" s="48"/>
      <c r="BI97" s="48" t="str">
        <f t="shared" si="39"/>
        <v>37502</v>
      </c>
      <c r="BJ97" s="48">
        <f t="shared" si="40"/>
        <v>532060.93999999994</v>
      </c>
      <c r="BK97" s="628">
        <f t="shared" si="41"/>
        <v>0</v>
      </c>
    </row>
    <row r="98" spans="1:63">
      <c r="A98" s="196">
        <v>91</v>
      </c>
      <c r="B98" s="73" t="s">
        <v>533</v>
      </c>
      <c r="C98" s="139" t="s">
        <v>534</v>
      </c>
      <c r="D98" s="168">
        <v>0</v>
      </c>
      <c r="E98" s="170">
        <v>259470.17</v>
      </c>
      <c r="F98" s="171">
        <f t="shared" si="42"/>
        <v>259470.17</v>
      </c>
      <c r="G98" s="181">
        <v>325140.93</v>
      </c>
      <c r="H98" s="178">
        <v>0</v>
      </c>
      <c r="I98" s="170">
        <v>375544.22</v>
      </c>
      <c r="J98" s="171">
        <f t="shared" si="43"/>
        <v>375544.22</v>
      </c>
      <c r="K98" s="202">
        <v>142316.31</v>
      </c>
      <c r="L98" s="171">
        <v>233227.90999999997</v>
      </c>
      <c r="M98" s="197">
        <v>382313.36999999994</v>
      </c>
      <c r="N98" s="171">
        <f t="shared" si="29"/>
        <v>615541.27999999991</v>
      </c>
      <c r="O98" s="202">
        <v>620521.55999999994</v>
      </c>
      <c r="P98" s="238">
        <v>0</v>
      </c>
      <c r="Q98" s="197">
        <v>406050.33999999997</v>
      </c>
      <c r="R98" s="171">
        <f t="shared" si="30"/>
        <v>406050.33999999997</v>
      </c>
      <c r="S98" s="202">
        <v>573206.12</v>
      </c>
      <c r="T98" s="238">
        <v>0</v>
      </c>
      <c r="U98" s="238">
        <v>435255.45</v>
      </c>
      <c r="V98" s="171">
        <f t="shared" si="31"/>
        <v>435255.45</v>
      </c>
      <c r="W98" s="56">
        <v>661481.54</v>
      </c>
      <c r="X98" s="568">
        <f t="shared" si="32"/>
        <v>0</v>
      </c>
      <c r="Y98" s="569">
        <v>465123.73000000004</v>
      </c>
      <c r="Z98" s="171">
        <f t="shared" si="33"/>
        <v>465123.73000000004</v>
      </c>
      <c r="AA98" s="48">
        <v>530850.91999999993</v>
      </c>
      <c r="AB98" s="238">
        <f t="shared" si="34"/>
        <v>0</v>
      </c>
      <c r="AC98" s="238">
        <v>459983.42000000004</v>
      </c>
      <c r="AD98" s="171">
        <f t="shared" si="35"/>
        <v>459983.42000000004</v>
      </c>
      <c r="AE98" s="238"/>
      <c r="AF98" s="238">
        <f t="shared" si="36"/>
        <v>0</v>
      </c>
      <c r="AG98" s="196">
        <v>91</v>
      </c>
      <c r="AH98" s="73" t="s">
        <v>533</v>
      </c>
      <c r="AI98" s="139" t="s">
        <v>534</v>
      </c>
      <c r="AJ98" s="238">
        <f t="shared" si="37"/>
        <v>0</v>
      </c>
      <c r="AK98" s="238"/>
      <c r="AL98" s="358" t="s">
        <v>533</v>
      </c>
      <c r="AM98" s="48">
        <v>530850.91999999993</v>
      </c>
      <c r="AN98" s="238" t="s">
        <v>533</v>
      </c>
      <c r="AO98" s="238">
        <v>459983.42000000004</v>
      </c>
      <c r="AQ98" s="472">
        <f t="shared" si="38"/>
        <v>0</v>
      </c>
      <c r="AS98" t="s">
        <v>533</v>
      </c>
      <c r="AT98" t="s">
        <v>1848</v>
      </c>
      <c r="AU98" s="48">
        <v>322607.81</v>
      </c>
      <c r="AV98" s="48">
        <v>30248.15</v>
      </c>
      <c r="AW98" s="48">
        <v>6071.04</v>
      </c>
      <c r="AX98" s="48">
        <v>0</v>
      </c>
      <c r="AY98" s="48">
        <v>47717.24</v>
      </c>
      <c r="AZ98" s="48">
        <v>22410.71</v>
      </c>
      <c r="BA98" s="48">
        <v>7412.68</v>
      </c>
      <c r="BB98" s="48">
        <v>21604.34</v>
      </c>
      <c r="BC98" s="48">
        <v>1911.45</v>
      </c>
      <c r="BD98" s="48">
        <v>0</v>
      </c>
      <c r="BE98" s="48"/>
      <c r="BF98" s="48">
        <f t="shared" si="26"/>
        <v>459983.42000000004</v>
      </c>
      <c r="BG98" s="48"/>
      <c r="BH98" s="48"/>
      <c r="BI98" s="48" t="str">
        <f t="shared" si="39"/>
        <v>27417</v>
      </c>
      <c r="BJ98" s="48">
        <f t="shared" si="40"/>
        <v>459983.42000000004</v>
      </c>
      <c r="BK98" s="628">
        <f t="shared" si="41"/>
        <v>0</v>
      </c>
    </row>
    <row r="99" spans="1:63">
      <c r="A99" s="196">
        <v>92</v>
      </c>
      <c r="B99" s="73" t="s">
        <v>183</v>
      </c>
      <c r="C99" s="139" t="s">
        <v>184</v>
      </c>
      <c r="D99" s="168">
        <v>9969.1600000000035</v>
      </c>
      <c r="E99" s="170">
        <v>58949.61</v>
      </c>
      <c r="F99" s="171">
        <f t="shared" si="42"/>
        <v>68918.77</v>
      </c>
      <c r="G99" s="181">
        <v>48534</v>
      </c>
      <c r="H99" s="178">
        <v>20384.770000000004</v>
      </c>
      <c r="I99" s="170">
        <v>87890.25</v>
      </c>
      <c r="J99" s="171">
        <f t="shared" si="43"/>
        <v>108275.02</v>
      </c>
      <c r="K99" s="202">
        <v>63041.17</v>
      </c>
      <c r="L99" s="171">
        <v>45233.850000000006</v>
      </c>
      <c r="M99" s="197">
        <v>85590.92</v>
      </c>
      <c r="N99" s="171">
        <f t="shared" si="29"/>
        <v>130824.77</v>
      </c>
      <c r="O99" s="202">
        <v>35635.25</v>
      </c>
      <c r="P99" s="238">
        <v>95189.52</v>
      </c>
      <c r="Q99" s="197">
        <v>94571.98</v>
      </c>
      <c r="R99" s="171">
        <f t="shared" si="30"/>
        <v>189761.5</v>
      </c>
      <c r="S99" s="202">
        <v>30550.350000000002</v>
      </c>
      <c r="T99" s="238">
        <v>159211.15</v>
      </c>
      <c r="U99" s="238">
        <v>94246.900000000009</v>
      </c>
      <c r="V99" s="171">
        <f t="shared" si="31"/>
        <v>253458.05</v>
      </c>
      <c r="W99" s="56">
        <v>46530.03</v>
      </c>
      <c r="X99" s="568">
        <f t="shared" si="32"/>
        <v>206928.02</v>
      </c>
      <c r="Y99" s="569">
        <v>100143.02000000002</v>
      </c>
      <c r="Z99" s="171">
        <f t="shared" si="33"/>
        <v>307071.04000000004</v>
      </c>
      <c r="AA99" s="48">
        <v>72406.250000000015</v>
      </c>
      <c r="AB99" s="238">
        <f t="shared" si="34"/>
        <v>234664.79000000004</v>
      </c>
      <c r="AC99" s="238">
        <v>100055.89</v>
      </c>
      <c r="AD99" s="171">
        <f t="shared" si="35"/>
        <v>334720.68000000005</v>
      </c>
      <c r="AE99" s="238"/>
      <c r="AF99" s="238">
        <f t="shared" si="36"/>
        <v>0</v>
      </c>
      <c r="AG99" s="196">
        <v>92</v>
      </c>
      <c r="AH99" s="73" t="s">
        <v>183</v>
      </c>
      <c r="AI99" s="139" t="s">
        <v>184</v>
      </c>
      <c r="AJ99" s="238">
        <f t="shared" si="37"/>
        <v>0</v>
      </c>
      <c r="AK99" s="238"/>
      <c r="AL99" s="358" t="s">
        <v>183</v>
      </c>
      <c r="AM99" s="48">
        <v>72406.250000000015</v>
      </c>
      <c r="AN99" s="238" t="s">
        <v>183</v>
      </c>
      <c r="AO99" s="238">
        <v>100055.89</v>
      </c>
      <c r="AQ99" s="472">
        <f t="shared" si="38"/>
        <v>0</v>
      </c>
      <c r="AS99" t="s">
        <v>183</v>
      </c>
      <c r="AT99" t="s">
        <v>1669</v>
      </c>
      <c r="AU99" s="48">
        <v>66028.929999999993</v>
      </c>
      <c r="AV99" s="48">
        <v>6351.75</v>
      </c>
      <c r="AW99" s="48">
        <v>336.08</v>
      </c>
      <c r="AX99" s="48">
        <v>0</v>
      </c>
      <c r="AY99" s="48">
        <v>12594.44</v>
      </c>
      <c r="AZ99" s="48">
        <v>6117.41</v>
      </c>
      <c r="BA99" s="48">
        <v>3885.05</v>
      </c>
      <c r="BB99" s="48">
        <v>4364.51</v>
      </c>
      <c r="BC99" s="48">
        <v>377.72</v>
      </c>
      <c r="BD99" s="48">
        <v>0</v>
      </c>
      <c r="BE99" s="48"/>
      <c r="BF99" s="48">
        <f t="shared" si="26"/>
        <v>100055.89</v>
      </c>
      <c r="BG99" s="48"/>
      <c r="BH99" s="48"/>
      <c r="BI99" s="48" t="str">
        <f t="shared" si="39"/>
        <v>03053</v>
      </c>
      <c r="BJ99" s="48">
        <f t="shared" si="40"/>
        <v>100055.89</v>
      </c>
      <c r="BK99" s="628">
        <f t="shared" si="41"/>
        <v>0</v>
      </c>
    </row>
    <row r="100" spans="1:63">
      <c r="A100" s="196">
        <v>93</v>
      </c>
      <c r="B100" s="73" t="s">
        <v>525</v>
      </c>
      <c r="C100" s="139" t="s">
        <v>526</v>
      </c>
      <c r="D100" s="168">
        <v>73423.650000000023</v>
      </c>
      <c r="E100" s="170">
        <v>539315.82000000007</v>
      </c>
      <c r="F100" s="171">
        <f t="shared" si="42"/>
        <v>612739.47000000009</v>
      </c>
      <c r="G100" s="181">
        <v>359436.39</v>
      </c>
      <c r="H100" s="178">
        <v>253303.08000000007</v>
      </c>
      <c r="I100" s="170">
        <v>777238.88</v>
      </c>
      <c r="J100" s="171">
        <f t="shared" si="43"/>
        <v>1030541.9600000001</v>
      </c>
      <c r="K100" s="202">
        <v>534470.14</v>
      </c>
      <c r="L100" s="171">
        <v>496071.82000000007</v>
      </c>
      <c r="M100" s="197">
        <v>765178</v>
      </c>
      <c r="N100" s="171">
        <f t="shared" si="29"/>
        <v>1261249.82</v>
      </c>
      <c r="O100" s="202">
        <v>881404.86</v>
      </c>
      <c r="P100" s="238">
        <v>379844.96000000008</v>
      </c>
      <c r="Q100" s="197">
        <v>826494.56</v>
      </c>
      <c r="R100" s="171">
        <f t="shared" si="30"/>
        <v>1206339.52</v>
      </c>
      <c r="S100" s="202">
        <v>960429.53</v>
      </c>
      <c r="T100" s="238">
        <v>245909.99</v>
      </c>
      <c r="U100" s="238">
        <v>841145.05</v>
      </c>
      <c r="V100" s="171">
        <f t="shared" si="31"/>
        <v>1087055.04</v>
      </c>
      <c r="W100" s="56">
        <v>1309764.1499999999</v>
      </c>
      <c r="X100" s="568">
        <f t="shared" si="32"/>
        <v>0</v>
      </c>
      <c r="Y100" s="569">
        <v>865444.99000000011</v>
      </c>
      <c r="Z100" s="171">
        <f t="shared" si="33"/>
        <v>865444.99000000011</v>
      </c>
      <c r="AA100" s="48">
        <v>1332863.5499999998</v>
      </c>
      <c r="AB100" s="238">
        <f t="shared" si="34"/>
        <v>0</v>
      </c>
      <c r="AC100" s="238">
        <v>874988.34999999986</v>
      </c>
      <c r="AD100" s="171">
        <f t="shared" si="35"/>
        <v>874988.34999999986</v>
      </c>
      <c r="AE100" s="238"/>
      <c r="AF100" s="238">
        <f t="shared" si="36"/>
        <v>0</v>
      </c>
      <c r="AG100" s="196">
        <v>93</v>
      </c>
      <c r="AH100" s="73" t="s">
        <v>525</v>
      </c>
      <c r="AI100" s="139" t="s">
        <v>526</v>
      </c>
      <c r="AJ100" s="238">
        <f t="shared" si="37"/>
        <v>0</v>
      </c>
      <c r="AK100" s="238"/>
      <c r="AL100" s="358" t="s">
        <v>525</v>
      </c>
      <c r="AM100" s="48">
        <v>1332863.5499999998</v>
      </c>
      <c r="AN100" s="238" t="s">
        <v>525</v>
      </c>
      <c r="AO100" s="238">
        <v>874988.34999999986</v>
      </c>
      <c r="AQ100" s="472">
        <f t="shared" si="38"/>
        <v>0</v>
      </c>
      <c r="AS100" t="s">
        <v>525</v>
      </c>
      <c r="AT100" t="s">
        <v>1844</v>
      </c>
      <c r="AU100" s="48">
        <v>583400.42000000004</v>
      </c>
      <c r="AV100" s="48">
        <v>37628.83</v>
      </c>
      <c r="AW100" s="48">
        <v>10089.48</v>
      </c>
      <c r="AX100" s="48">
        <v>0</v>
      </c>
      <c r="AY100" s="48">
        <v>121771.22</v>
      </c>
      <c r="AZ100" s="48">
        <v>52133.88</v>
      </c>
      <c r="BA100" s="48">
        <v>33116.83</v>
      </c>
      <c r="BB100" s="48">
        <v>33634.870000000003</v>
      </c>
      <c r="BC100" s="48">
        <v>3212.82</v>
      </c>
      <c r="BD100" s="48">
        <v>0</v>
      </c>
      <c r="BE100" s="48"/>
      <c r="BF100" s="48">
        <f t="shared" si="26"/>
        <v>874988.34999999986</v>
      </c>
      <c r="BG100" s="48"/>
      <c r="BH100" s="48"/>
      <c r="BI100" s="48" t="str">
        <f t="shared" si="39"/>
        <v>27402</v>
      </c>
      <c r="BJ100" s="48">
        <f t="shared" si="40"/>
        <v>874988.34999999986</v>
      </c>
      <c r="BK100" s="628">
        <f t="shared" si="41"/>
        <v>0</v>
      </c>
    </row>
    <row r="101" spans="1:63">
      <c r="A101" s="196">
        <v>94</v>
      </c>
      <c r="B101" s="73" t="s">
        <v>606</v>
      </c>
      <c r="C101" s="139" t="s">
        <v>607</v>
      </c>
      <c r="D101" s="168">
        <v>2209.5500000000029</v>
      </c>
      <c r="E101" s="170">
        <v>53427.939999999995</v>
      </c>
      <c r="F101" s="171">
        <f t="shared" si="42"/>
        <v>55637.49</v>
      </c>
      <c r="G101" s="181">
        <v>49903.37</v>
      </c>
      <c r="H101" s="178">
        <v>5734.1199999999953</v>
      </c>
      <c r="I101" s="170">
        <v>74784.09</v>
      </c>
      <c r="J101" s="171">
        <f t="shared" si="43"/>
        <v>80518.209999999992</v>
      </c>
      <c r="K101" s="202">
        <v>79012.39</v>
      </c>
      <c r="L101" s="171">
        <v>1505.8199999999924</v>
      </c>
      <c r="M101" s="197">
        <v>77116.27</v>
      </c>
      <c r="N101" s="171">
        <f t="shared" si="29"/>
        <v>78622.09</v>
      </c>
      <c r="O101" s="202">
        <v>86171.479999999981</v>
      </c>
      <c r="P101" s="238">
        <v>0</v>
      </c>
      <c r="Q101" s="197">
        <v>87400.49</v>
      </c>
      <c r="R101" s="171">
        <f t="shared" si="30"/>
        <v>87400.49</v>
      </c>
      <c r="S101" s="202">
        <v>98601.72</v>
      </c>
      <c r="T101" s="238">
        <v>0</v>
      </c>
      <c r="U101" s="238">
        <v>84338.65</v>
      </c>
      <c r="V101" s="171">
        <f t="shared" si="31"/>
        <v>84338.65</v>
      </c>
      <c r="W101" s="56">
        <v>98296.699999999983</v>
      </c>
      <c r="X101" s="568">
        <f t="shared" si="32"/>
        <v>0</v>
      </c>
      <c r="Y101" s="569">
        <v>94290.050000000017</v>
      </c>
      <c r="Z101" s="171">
        <f t="shared" si="33"/>
        <v>94290.050000000017</v>
      </c>
      <c r="AA101" s="48">
        <v>83656.449999999983</v>
      </c>
      <c r="AB101" s="238">
        <f t="shared" si="34"/>
        <v>10633.600000000035</v>
      </c>
      <c r="AC101" s="238">
        <v>94376.79</v>
      </c>
      <c r="AD101" s="171">
        <f t="shared" si="35"/>
        <v>105010.39000000003</v>
      </c>
      <c r="AE101" s="238"/>
      <c r="AF101" s="238">
        <f t="shared" si="36"/>
        <v>0</v>
      </c>
      <c r="AG101" s="196">
        <v>94</v>
      </c>
      <c r="AH101" s="73" t="s">
        <v>606</v>
      </c>
      <c r="AI101" s="139" t="s">
        <v>607</v>
      </c>
      <c r="AJ101" s="238">
        <f t="shared" si="37"/>
        <v>0</v>
      </c>
      <c r="AK101" s="238"/>
      <c r="AL101" s="358" t="s">
        <v>606</v>
      </c>
      <c r="AM101" s="48">
        <v>83656.449999999983</v>
      </c>
      <c r="AN101" s="238" t="s">
        <v>606</v>
      </c>
      <c r="AO101" s="238">
        <v>94376.79</v>
      </c>
      <c r="AQ101" s="472">
        <f t="shared" si="38"/>
        <v>0</v>
      </c>
      <c r="AS101" t="s">
        <v>606</v>
      </c>
      <c r="AT101" t="s">
        <v>1885</v>
      </c>
      <c r="AU101" s="48">
        <v>64092.51</v>
      </c>
      <c r="AV101" s="48">
        <v>8796.01</v>
      </c>
      <c r="AW101" s="48">
        <v>2052.29</v>
      </c>
      <c r="AX101" s="48">
        <v>0</v>
      </c>
      <c r="AY101" s="48">
        <v>12397.26</v>
      </c>
      <c r="AZ101" s="48">
        <v>1912.8</v>
      </c>
      <c r="BA101" s="48">
        <v>0</v>
      </c>
      <c r="BB101" s="48">
        <v>89.78</v>
      </c>
      <c r="BC101" s="48">
        <v>384.8</v>
      </c>
      <c r="BD101" s="48">
        <v>4651.34</v>
      </c>
      <c r="BE101" s="48"/>
      <c r="BF101" s="48">
        <f t="shared" si="26"/>
        <v>94376.79</v>
      </c>
      <c r="BG101" s="48"/>
      <c r="BH101" s="48"/>
      <c r="BI101" s="48" t="str">
        <f t="shared" si="39"/>
        <v>32358</v>
      </c>
      <c r="BJ101" s="48">
        <f t="shared" si="40"/>
        <v>94376.79</v>
      </c>
      <c r="BK101" s="628">
        <f t="shared" si="41"/>
        <v>0</v>
      </c>
    </row>
    <row r="102" spans="1:63">
      <c r="A102" s="196">
        <v>95</v>
      </c>
      <c r="B102" s="73" t="s">
        <v>697</v>
      </c>
      <c r="C102" s="139" t="s">
        <v>698</v>
      </c>
      <c r="D102" s="168">
        <v>3108.2700000000013</v>
      </c>
      <c r="E102" s="170">
        <v>14936.109999999999</v>
      </c>
      <c r="F102" s="171">
        <f t="shared" si="42"/>
        <v>18044.38</v>
      </c>
      <c r="G102" s="181"/>
      <c r="H102" s="178">
        <v>18044.38</v>
      </c>
      <c r="I102" s="170">
        <v>20485.8</v>
      </c>
      <c r="J102" s="171">
        <f t="shared" si="43"/>
        <v>38530.18</v>
      </c>
      <c r="K102" s="202">
        <v>12265.400000000001</v>
      </c>
      <c r="L102" s="171">
        <v>26264.78</v>
      </c>
      <c r="M102" s="197">
        <v>21084.93</v>
      </c>
      <c r="N102" s="171">
        <f t="shared" si="29"/>
        <v>47349.71</v>
      </c>
      <c r="O102" s="202">
        <v>19005.689999999999</v>
      </c>
      <c r="P102" s="238">
        <v>28344.02</v>
      </c>
      <c r="Q102" s="197">
        <v>22631.77</v>
      </c>
      <c r="R102" s="171">
        <f t="shared" si="30"/>
        <v>50975.79</v>
      </c>
      <c r="S102" s="202">
        <v>18449.78</v>
      </c>
      <c r="T102" s="238">
        <v>32526.010000000002</v>
      </c>
      <c r="U102" s="238">
        <v>22155.84</v>
      </c>
      <c r="V102" s="171">
        <f t="shared" si="31"/>
        <v>54681.850000000006</v>
      </c>
      <c r="W102" s="56"/>
      <c r="X102" s="568">
        <f t="shared" si="32"/>
        <v>54681.850000000006</v>
      </c>
      <c r="Y102" s="569">
        <v>23493.960000000003</v>
      </c>
      <c r="Z102" s="171">
        <f t="shared" si="33"/>
        <v>78175.810000000012</v>
      </c>
      <c r="AA102" s="48">
        <v>7445.3399999999992</v>
      </c>
      <c r="AB102" s="238">
        <f t="shared" si="34"/>
        <v>70730.470000000016</v>
      </c>
      <c r="AC102" s="238">
        <v>24881.59</v>
      </c>
      <c r="AD102" s="171">
        <f t="shared" si="35"/>
        <v>95612.060000000012</v>
      </c>
      <c r="AE102" s="238"/>
      <c r="AF102" s="238">
        <f t="shared" si="36"/>
        <v>0</v>
      </c>
      <c r="AG102" s="196">
        <v>95</v>
      </c>
      <c r="AH102" s="73" t="s">
        <v>697</v>
      </c>
      <c r="AI102" s="139" t="s">
        <v>698</v>
      </c>
      <c r="AJ102" s="238">
        <f t="shared" si="37"/>
        <v>0</v>
      </c>
      <c r="AK102" s="238"/>
      <c r="AL102" s="358" t="s">
        <v>697</v>
      </c>
      <c r="AM102" s="48">
        <v>7445.3399999999992</v>
      </c>
      <c r="AN102" s="238" t="s">
        <v>697</v>
      </c>
      <c r="AO102" s="238">
        <v>24881.59</v>
      </c>
      <c r="AQ102" s="472">
        <f t="shared" si="38"/>
        <v>0</v>
      </c>
      <c r="AS102" t="s">
        <v>697</v>
      </c>
      <c r="AT102" t="s">
        <v>1935</v>
      </c>
      <c r="AU102" s="48">
        <v>20402.689999999999</v>
      </c>
      <c r="AV102" s="48">
        <v>997.48</v>
      </c>
      <c r="AW102" s="48">
        <v>0</v>
      </c>
      <c r="AX102" s="48">
        <v>0</v>
      </c>
      <c r="AY102" s="48">
        <v>2342.12</v>
      </c>
      <c r="AZ102" s="48">
        <v>689.13</v>
      </c>
      <c r="BA102" s="48">
        <v>393.13</v>
      </c>
      <c r="BB102" s="48">
        <v>0</v>
      </c>
      <c r="BC102" s="48">
        <v>57.04</v>
      </c>
      <c r="BD102" s="48">
        <v>0</v>
      </c>
      <c r="BE102" s="48"/>
      <c r="BF102" s="48">
        <f t="shared" si="26"/>
        <v>24881.59</v>
      </c>
      <c r="BG102" s="48"/>
      <c r="BH102" s="48"/>
      <c r="BI102" s="48" t="str">
        <f t="shared" si="39"/>
        <v>38302</v>
      </c>
      <c r="BJ102" s="48">
        <f t="shared" si="40"/>
        <v>24881.59</v>
      </c>
      <c r="BK102" s="628">
        <f t="shared" si="41"/>
        <v>0</v>
      </c>
    </row>
    <row r="103" spans="1:63">
      <c r="A103" s="196">
        <v>96</v>
      </c>
      <c r="B103" s="73" t="s">
        <v>404</v>
      </c>
      <c r="C103" s="139" t="s">
        <v>405</v>
      </c>
      <c r="D103" s="168">
        <v>5737.32</v>
      </c>
      <c r="E103" s="170">
        <v>12353.5</v>
      </c>
      <c r="F103" s="171">
        <f t="shared" si="42"/>
        <v>18090.82</v>
      </c>
      <c r="G103" s="181">
        <v>1058.8800000000001</v>
      </c>
      <c r="H103" s="178">
        <v>17031.939999999999</v>
      </c>
      <c r="I103" s="170">
        <v>18755.11</v>
      </c>
      <c r="J103" s="171">
        <f t="shared" si="43"/>
        <v>35787.050000000003</v>
      </c>
      <c r="K103" s="202">
        <v>5967.52</v>
      </c>
      <c r="L103" s="171">
        <v>29819.530000000002</v>
      </c>
      <c r="M103" s="197">
        <v>18881.89</v>
      </c>
      <c r="N103" s="171">
        <f t="shared" si="29"/>
        <v>48701.42</v>
      </c>
      <c r="O103" s="202">
        <v>9026.86</v>
      </c>
      <c r="P103" s="238">
        <v>39674.559999999998</v>
      </c>
      <c r="Q103" s="197">
        <v>19925.75</v>
      </c>
      <c r="R103" s="171">
        <f t="shared" si="30"/>
        <v>59600.31</v>
      </c>
      <c r="S103" s="202">
        <v>13711.05</v>
      </c>
      <c r="T103" s="238">
        <v>45889.259999999995</v>
      </c>
      <c r="U103" s="238">
        <v>19869</v>
      </c>
      <c r="V103" s="171">
        <f t="shared" si="31"/>
        <v>65758.259999999995</v>
      </c>
      <c r="W103" s="56">
        <v>16679.45</v>
      </c>
      <c r="X103" s="568">
        <f t="shared" si="32"/>
        <v>49078.81</v>
      </c>
      <c r="Y103" s="569">
        <v>20568.7</v>
      </c>
      <c r="Z103" s="171">
        <f t="shared" si="33"/>
        <v>69647.509999999995</v>
      </c>
      <c r="AA103" s="48"/>
      <c r="AB103" s="238">
        <f t="shared" si="34"/>
        <v>69647.509999999995</v>
      </c>
      <c r="AC103" s="238">
        <v>20139.739999999998</v>
      </c>
      <c r="AD103" s="171">
        <f t="shared" si="35"/>
        <v>89787.25</v>
      </c>
      <c r="AE103" s="238"/>
      <c r="AF103" s="238">
        <f t="shared" si="36"/>
        <v>0</v>
      </c>
      <c r="AG103" s="196">
        <v>96</v>
      </c>
      <c r="AH103" s="73" t="s">
        <v>404</v>
      </c>
      <c r="AI103" s="139" t="s">
        <v>405</v>
      </c>
      <c r="AJ103" s="238">
        <f t="shared" si="37"/>
        <v>0</v>
      </c>
      <c r="AK103" s="238"/>
      <c r="AL103" s="73" t="s">
        <v>404</v>
      </c>
      <c r="AM103" s="48"/>
      <c r="AN103" s="238" t="s">
        <v>404</v>
      </c>
      <c r="AO103" s="238">
        <v>20139.739999999998</v>
      </c>
      <c r="AQ103" s="472">
        <f t="shared" si="38"/>
        <v>0</v>
      </c>
      <c r="AS103" t="s">
        <v>404</v>
      </c>
      <c r="AT103" t="s">
        <v>1785</v>
      </c>
      <c r="AU103" s="48">
        <v>19835.099999999999</v>
      </c>
      <c r="AV103" s="48">
        <v>0</v>
      </c>
      <c r="AW103" s="48">
        <v>0</v>
      </c>
      <c r="AX103" s="48">
        <v>0</v>
      </c>
      <c r="AY103" s="48">
        <v>0</v>
      </c>
      <c r="AZ103" s="48">
        <v>304.64</v>
      </c>
      <c r="BA103" s="48">
        <v>0</v>
      </c>
      <c r="BB103" s="48">
        <v>0</v>
      </c>
      <c r="BC103" s="48">
        <v>0</v>
      </c>
      <c r="BD103" s="48">
        <v>0</v>
      </c>
      <c r="BE103" s="48"/>
      <c r="BF103" s="48">
        <f t="shared" si="26"/>
        <v>20139.739999999998</v>
      </c>
      <c r="BG103" s="48"/>
      <c r="BH103" s="48"/>
      <c r="BI103" s="48" t="str">
        <f t="shared" si="39"/>
        <v>20401</v>
      </c>
      <c r="BJ103" s="48">
        <f t="shared" si="40"/>
        <v>20139.739999999998</v>
      </c>
      <c r="BK103" s="628">
        <f t="shared" si="41"/>
        <v>0</v>
      </c>
    </row>
    <row r="104" spans="1:63">
      <c r="A104" s="196">
        <v>97</v>
      </c>
      <c r="B104" s="73" t="s">
        <v>410</v>
      </c>
      <c r="C104" s="139" t="s">
        <v>411</v>
      </c>
      <c r="D104" s="168">
        <v>0</v>
      </c>
      <c r="E104" s="170">
        <v>50810.53</v>
      </c>
      <c r="F104" s="171">
        <f t="shared" si="42"/>
        <v>50810.53</v>
      </c>
      <c r="G104" s="181">
        <v>24151.49</v>
      </c>
      <c r="H104" s="178">
        <v>26659.039999999997</v>
      </c>
      <c r="I104" s="170">
        <v>69494.28</v>
      </c>
      <c r="J104" s="171">
        <f t="shared" si="43"/>
        <v>96153.319999999992</v>
      </c>
      <c r="K104" s="202">
        <v>72335.399999999994</v>
      </c>
      <c r="L104" s="171">
        <v>23817.919999999998</v>
      </c>
      <c r="M104" s="197">
        <v>76228.539999999994</v>
      </c>
      <c r="N104" s="171">
        <f t="shared" ref="N104:N118" si="44">+L104+M104</f>
        <v>100046.45999999999</v>
      </c>
      <c r="O104" s="202">
        <v>65591.149999999994</v>
      </c>
      <c r="P104" s="238">
        <v>34455.31</v>
      </c>
      <c r="Q104" s="197">
        <v>86808.87999999999</v>
      </c>
      <c r="R104" s="171">
        <f t="shared" ref="R104:R118" si="45">+P104+Q104</f>
        <v>121264.18999999999</v>
      </c>
      <c r="S104" s="202">
        <v>121264.19</v>
      </c>
      <c r="T104" s="238">
        <v>0</v>
      </c>
      <c r="U104" s="238">
        <v>91773.540000000008</v>
      </c>
      <c r="V104" s="171">
        <f t="shared" ref="V104:V118" si="46">+T104+U104</f>
        <v>91773.540000000008</v>
      </c>
      <c r="W104" s="56">
        <v>91773.540000000023</v>
      </c>
      <c r="X104" s="568">
        <f t="shared" si="32"/>
        <v>0</v>
      </c>
      <c r="Y104" s="569">
        <v>97149.54</v>
      </c>
      <c r="Z104" s="171">
        <f t="shared" ref="Z104:Z118" si="47">+X104+Y104</f>
        <v>97149.54</v>
      </c>
      <c r="AA104" s="48">
        <v>88298.000000000015</v>
      </c>
      <c r="AB104" s="238">
        <f t="shared" si="34"/>
        <v>8851.539999999979</v>
      </c>
      <c r="AC104" s="238">
        <v>94770.609999999986</v>
      </c>
      <c r="AD104" s="171">
        <f t="shared" ref="AD104:AD118" si="48">+AB104+AC104</f>
        <v>103622.14999999997</v>
      </c>
      <c r="AE104" s="238"/>
      <c r="AF104" s="238">
        <f t="shared" si="36"/>
        <v>0</v>
      </c>
      <c r="AG104" s="196">
        <v>97</v>
      </c>
      <c r="AH104" s="73" t="s">
        <v>410</v>
      </c>
      <c r="AI104" s="139" t="s">
        <v>411</v>
      </c>
      <c r="AJ104" s="238">
        <f t="shared" si="37"/>
        <v>0</v>
      </c>
      <c r="AK104" s="238"/>
      <c r="AL104" s="358" t="s">
        <v>410</v>
      </c>
      <c r="AM104" s="48">
        <v>88298.000000000015</v>
      </c>
      <c r="AN104" s="238" t="s">
        <v>410</v>
      </c>
      <c r="AO104" s="238">
        <v>94770.609999999986</v>
      </c>
      <c r="AQ104" s="472">
        <f t="shared" si="38"/>
        <v>0</v>
      </c>
      <c r="AS104" t="s">
        <v>410</v>
      </c>
      <c r="AT104" t="s">
        <v>1788</v>
      </c>
      <c r="AU104" s="48">
        <v>63206.1</v>
      </c>
      <c r="AV104" s="48">
        <v>7569.69</v>
      </c>
      <c r="AW104" s="48">
        <v>1456.89</v>
      </c>
      <c r="AX104" s="48">
        <v>0</v>
      </c>
      <c r="AY104" s="48">
        <v>0</v>
      </c>
      <c r="AZ104" s="48">
        <v>13532.93</v>
      </c>
      <c r="BA104" s="48">
        <v>3920.51</v>
      </c>
      <c r="BB104" s="48">
        <v>3641.47</v>
      </c>
      <c r="BC104" s="48">
        <v>1443.02</v>
      </c>
      <c r="BD104" s="48">
        <v>0</v>
      </c>
      <c r="BE104" s="48"/>
      <c r="BF104" s="48">
        <f t="shared" si="26"/>
        <v>94770.609999999986</v>
      </c>
      <c r="BG104" s="48"/>
      <c r="BH104" s="48"/>
      <c r="BI104" s="48" t="str">
        <f t="shared" si="39"/>
        <v>20404</v>
      </c>
      <c r="BJ104" s="48">
        <f t="shared" si="40"/>
        <v>94770.609999999986</v>
      </c>
      <c r="BK104" s="628">
        <f t="shared" si="41"/>
        <v>0</v>
      </c>
    </row>
    <row r="105" spans="1:63">
      <c r="A105" s="196">
        <v>98</v>
      </c>
      <c r="B105" s="73" t="s">
        <v>295</v>
      </c>
      <c r="C105" s="139" t="s">
        <v>296</v>
      </c>
      <c r="D105" s="168">
        <v>0</v>
      </c>
      <c r="E105" s="170">
        <v>46050.359999999993</v>
      </c>
      <c r="F105" s="171">
        <f t="shared" si="42"/>
        <v>46050.359999999993</v>
      </c>
      <c r="G105" s="181">
        <v>58915.99</v>
      </c>
      <c r="H105" s="178">
        <v>0</v>
      </c>
      <c r="I105" s="170">
        <v>65671.679999999993</v>
      </c>
      <c r="J105" s="171">
        <f t="shared" si="43"/>
        <v>65671.679999999993</v>
      </c>
      <c r="K105" s="202">
        <v>55155.240000000005</v>
      </c>
      <c r="L105" s="171">
        <v>10516.439999999988</v>
      </c>
      <c r="M105" s="197">
        <v>65719.570000000007</v>
      </c>
      <c r="N105" s="171">
        <f t="shared" si="44"/>
        <v>76236.009999999995</v>
      </c>
      <c r="O105" s="202">
        <v>60072.409999999996</v>
      </c>
      <c r="P105" s="238">
        <v>16163.599999999999</v>
      </c>
      <c r="Q105" s="197">
        <v>74123.59</v>
      </c>
      <c r="R105" s="171">
        <f t="shared" si="45"/>
        <v>90287.19</v>
      </c>
      <c r="S105" s="202">
        <v>90287.6</v>
      </c>
      <c r="T105" s="238">
        <v>0</v>
      </c>
      <c r="U105" s="238">
        <v>72630.95</v>
      </c>
      <c r="V105" s="171">
        <f t="shared" si="46"/>
        <v>72630.95</v>
      </c>
      <c r="W105" s="56">
        <v>63964.329999999987</v>
      </c>
      <c r="X105" s="568">
        <f t="shared" si="32"/>
        <v>8666.6200000000099</v>
      </c>
      <c r="Y105" s="569">
        <v>72499.200000000012</v>
      </c>
      <c r="Z105" s="171">
        <f t="shared" si="47"/>
        <v>81165.820000000022</v>
      </c>
      <c r="AA105" s="48">
        <v>69525.94</v>
      </c>
      <c r="AB105" s="238">
        <f t="shared" si="34"/>
        <v>11639.880000000019</v>
      </c>
      <c r="AC105" s="238">
        <v>68361.779999999984</v>
      </c>
      <c r="AD105" s="171">
        <f t="shared" si="48"/>
        <v>80001.66</v>
      </c>
      <c r="AE105" s="238"/>
      <c r="AF105" s="238">
        <f t="shared" si="36"/>
        <v>0</v>
      </c>
      <c r="AG105" s="196">
        <v>98</v>
      </c>
      <c r="AH105" s="73" t="s">
        <v>295</v>
      </c>
      <c r="AI105" s="139" t="s">
        <v>296</v>
      </c>
      <c r="AJ105" s="238">
        <f t="shared" si="37"/>
        <v>0</v>
      </c>
      <c r="AK105" s="238"/>
      <c r="AL105" s="358" t="s">
        <v>295</v>
      </c>
      <c r="AM105" s="48">
        <v>69525.94</v>
      </c>
      <c r="AN105" s="238" t="s">
        <v>295</v>
      </c>
      <c r="AO105" s="238">
        <v>68361.779999999984</v>
      </c>
      <c r="AQ105" s="472">
        <f t="shared" si="38"/>
        <v>0</v>
      </c>
      <c r="AS105" t="s">
        <v>295</v>
      </c>
      <c r="AT105" t="s">
        <v>1727</v>
      </c>
      <c r="AU105" s="48">
        <v>48399.74</v>
      </c>
      <c r="AV105" s="48">
        <v>3152.75</v>
      </c>
      <c r="AW105" s="48">
        <v>903.43</v>
      </c>
      <c r="AX105" s="48">
        <v>0</v>
      </c>
      <c r="AY105" s="48">
        <v>7898.34</v>
      </c>
      <c r="AZ105" s="48">
        <v>4765.3500000000004</v>
      </c>
      <c r="BA105" s="48">
        <v>2973.91</v>
      </c>
      <c r="BB105" s="48">
        <v>0</v>
      </c>
      <c r="BC105" s="48">
        <v>268.26</v>
      </c>
      <c r="BD105" s="48">
        <v>0</v>
      </c>
      <c r="BE105" s="48"/>
      <c r="BF105" s="48">
        <f t="shared" si="26"/>
        <v>68361.779999999984</v>
      </c>
      <c r="BG105" s="48"/>
      <c r="BH105" s="48"/>
      <c r="BI105" s="48" t="str">
        <f t="shared" si="39"/>
        <v>13301</v>
      </c>
      <c r="BJ105" s="48">
        <f t="shared" si="40"/>
        <v>68361.779999999984</v>
      </c>
      <c r="BK105" s="628">
        <f t="shared" si="41"/>
        <v>0</v>
      </c>
    </row>
    <row r="106" spans="1:63">
      <c r="A106" s="196">
        <v>99</v>
      </c>
      <c r="B106" s="73" t="s">
        <v>722</v>
      </c>
      <c r="C106" s="139" t="s">
        <v>723</v>
      </c>
      <c r="D106" s="168">
        <v>0</v>
      </c>
      <c r="E106" s="170">
        <v>251678.83000000002</v>
      </c>
      <c r="F106" s="171">
        <f t="shared" si="42"/>
        <v>251678.83000000002</v>
      </c>
      <c r="G106" s="181">
        <v>251681.33</v>
      </c>
      <c r="H106" s="178">
        <v>0</v>
      </c>
      <c r="I106" s="170">
        <v>367544.88</v>
      </c>
      <c r="J106" s="171">
        <f t="shared" si="43"/>
        <v>367544.88</v>
      </c>
      <c r="K106" s="202">
        <v>368484.41999999993</v>
      </c>
      <c r="L106" s="171">
        <v>0</v>
      </c>
      <c r="M106" s="197">
        <v>366320.28</v>
      </c>
      <c r="N106" s="171">
        <f t="shared" si="44"/>
        <v>366320.28</v>
      </c>
      <c r="O106" s="202">
        <v>366320.27999999997</v>
      </c>
      <c r="P106" s="238">
        <v>5.8207660913467407E-11</v>
      </c>
      <c r="Q106" s="197">
        <v>394864.37</v>
      </c>
      <c r="R106" s="171">
        <f t="shared" si="45"/>
        <v>394864.37000000005</v>
      </c>
      <c r="S106" s="202">
        <v>395165.57</v>
      </c>
      <c r="T106" s="238">
        <v>0</v>
      </c>
      <c r="U106" s="238">
        <v>411126.13999999996</v>
      </c>
      <c r="V106" s="171">
        <f t="shared" si="46"/>
        <v>411126.13999999996</v>
      </c>
      <c r="W106" s="56">
        <v>424415.07000000018</v>
      </c>
      <c r="X106" s="568">
        <f t="shared" si="32"/>
        <v>0</v>
      </c>
      <c r="Y106" s="569">
        <v>439296.16000000003</v>
      </c>
      <c r="Z106" s="171">
        <f t="shared" si="47"/>
        <v>439296.16000000003</v>
      </c>
      <c r="AA106" s="48">
        <v>439902.66999999981</v>
      </c>
      <c r="AB106" s="238">
        <f t="shared" si="34"/>
        <v>0</v>
      </c>
      <c r="AC106" s="238">
        <v>437174.40999999992</v>
      </c>
      <c r="AD106" s="171">
        <f t="shared" si="48"/>
        <v>437174.40999999992</v>
      </c>
      <c r="AE106" s="238"/>
      <c r="AF106" s="238">
        <f t="shared" si="36"/>
        <v>0</v>
      </c>
      <c r="AG106" s="196">
        <v>99</v>
      </c>
      <c r="AH106" s="73" t="s">
        <v>722</v>
      </c>
      <c r="AI106" s="139" t="s">
        <v>723</v>
      </c>
      <c r="AJ106" s="238">
        <f t="shared" si="37"/>
        <v>0</v>
      </c>
      <c r="AK106" s="238"/>
      <c r="AL106" s="358" t="s">
        <v>722</v>
      </c>
      <c r="AM106" s="48">
        <v>439902.66999999981</v>
      </c>
      <c r="AN106" s="238" t="s">
        <v>722</v>
      </c>
      <c r="AO106" s="238">
        <v>437174.40999999992</v>
      </c>
      <c r="AQ106" s="472">
        <f t="shared" si="38"/>
        <v>0</v>
      </c>
      <c r="AS106" t="s">
        <v>722</v>
      </c>
      <c r="AT106" t="s">
        <v>1948</v>
      </c>
      <c r="AU106" s="48">
        <v>260862.75</v>
      </c>
      <c r="AV106" s="48">
        <v>26120.81</v>
      </c>
      <c r="AW106" s="48">
        <v>3704.68</v>
      </c>
      <c r="AX106" s="48">
        <v>0</v>
      </c>
      <c r="AY106" s="48">
        <v>59001.59</v>
      </c>
      <c r="AZ106" s="48">
        <v>29794.639999999999</v>
      </c>
      <c r="BA106" s="48">
        <v>16011.97</v>
      </c>
      <c r="BB106" s="48">
        <v>28254.5</v>
      </c>
      <c r="BC106" s="48">
        <v>1509.31</v>
      </c>
      <c r="BD106" s="48">
        <v>11914.16</v>
      </c>
      <c r="BE106" s="48"/>
      <c r="BF106" s="48">
        <f t="shared" si="26"/>
        <v>437174.40999999992</v>
      </c>
      <c r="BG106" s="48"/>
      <c r="BH106" s="48"/>
      <c r="BI106" s="48" t="str">
        <f t="shared" si="39"/>
        <v>39200</v>
      </c>
      <c r="BJ106" s="48">
        <f t="shared" si="40"/>
        <v>437174.40999999992</v>
      </c>
      <c r="BK106" s="628">
        <f t="shared" si="41"/>
        <v>0</v>
      </c>
    </row>
    <row r="107" spans="1:63">
      <c r="A107" s="196">
        <v>100</v>
      </c>
      <c r="B107" s="73" t="s">
        <v>730</v>
      </c>
      <c r="C107" s="139" t="s">
        <v>731</v>
      </c>
      <c r="D107" s="168">
        <v>0</v>
      </c>
      <c r="E107" s="170">
        <v>104427.12999999999</v>
      </c>
      <c r="F107" s="171">
        <f t="shared" si="42"/>
        <v>104427.12999999999</v>
      </c>
      <c r="G107" s="181">
        <v>78999.83</v>
      </c>
      <c r="H107" s="178">
        <v>25427.299999999988</v>
      </c>
      <c r="I107" s="170">
        <v>155675.93</v>
      </c>
      <c r="J107" s="171">
        <f t="shared" si="43"/>
        <v>181103.22999999998</v>
      </c>
      <c r="K107" s="202">
        <v>150164.44999999998</v>
      </c>
      <c r="L107" s="171">
        <v>30938.78</v>
      </c>
      <c r="M107" s="197">
        <v>159424.28000000003</v>
      </c>
      <c r="N107" s="171">
        <f t="shared" si="44"/>
        <v>190363.06000000003</v>
      </c>
      <c r="O107" s="202">
        <v>105948.44</v>
      </c>
      <c r="P107" s="238">
        <v>84414.620000000024</v>
      </c>
      <c r="Q107" s="197">
        <v>170199.05</v>
      </c>
      <c r="R107" s="171">
        <f t="shared" si="45"/>
        <v>254613.67</v>
      </c>
      <c r="S107" s="202">
        <v>183287.07</v>
      </c>
      <c r="T107" s="238">
        <v>71326.600000000006</v>
      </c>
      <c r="U107" s="238">
        <v>168950.19</v>
      </c>
      <c r="V107" s="171">
        <f t="shared" si="46"/>
        <v>240276.79</v>
      </c>
      <c r="W107" s="56">
        <v>103989.96999999999</v>
      </c>
      <c r="X107" s="568">
        <f t="shared" si="32"/>
        <v>136286.82</v>
      </c>
      <c r="Y107" s="569">
        <v>178633.57</v>
      </c>
      <c r="Z107" s="171">
        <f t="shared" si="47"/>
        <v>314920.39</v>
      </c>
      <c r="AA107" s="48">
        <v>221141.46000000005</v>
      </c>
      <c r="AB107" s="238">
        <f t="shared" si="34"/>
        <v>93778.929999999964</v>
      </c>
      <c r="AC107" s="238">
        <v>181671.40999999997</v>
      </c>
      <c r="AD107" s="171">
        <f t="shared" si="48"/>
        <v>275450.33999999997</v>
      </c>
      <c r="AE107" s="238"/>
      <c r="AF107" s="238">
        <f t="shared" si="36"/>
        <v>0</v>
      </c>
      <c r="AG107" s="196">
        <v>100</v>
      </c>
      <c r="AH107" s="73" t="s">
        <v>730</v>
      </c>
      <c r="AI107" s="139" t="s">
        <v>731</v>
      </c>
      <c r="AJ107" s="238">
        <f t="shared" si="37"/>
        <v>0</v>
      </c>
      <c r="AK107" s="238"/>
      <c r="AL107" s="358" t="s">
        <v>730</v>
      </c>
      <c r="AM107" s="48">
        <v>221141.46000000005</v>
      </c>
      <c r="AN107" s="238" t="s">
        <v>730</v>
      </c>
      <c r="AO107" s="238">
        <v>181671.40999999997</v>
      </c>
      <c r="AQ107" s="472">
        <f t="shared" si="38"/>
        <v>0</v>
      </c>
      <c r="AS107" t="s">
        <v>730</v>
      </c>
      <c r="AT107" t="s">
        <v>1952</v>
      </c>
      <c r="AU107" s="48">
        <v>103118.84</v>
      </c>
      <c r="AV107" s="48">
        <v>14202.03</v>
      </c>
      <c r="AW107" s="48">
        <v>3061.79</v>
      </c>
      <c r="AX107" s="48">
        <v>0</v>
      </c>
      <c r="AY107" s="48">
        <v>23107.32</v>
      </c>
      <c r="AZ107" s="48">
        <v>12392.08</v>
      </c>
      <c r="BA107" s="48">
        <v>6251.54</v>
      </c>
      <c r="BB107" s="48">
        <v>18921.13</v>
      </c>
      <c r="BC107" s="48">
        <v>616.67999999999995</v>
      </c>
      <c r="BD107" s="48">
        <v>0</v>
      </c>
      <c r="BE107" s="48"/>
      <c r="BF107" s="48">
        <f t="shared" si="26"/>
        <v>181671.40999999997</v>
      </c>
      <c r="BG107" s="48"/>
      <c r="BH107" s="48"/>
      <c r="BI107" s="48" t="str">
        <f t="shared" si="39"/>
        <v>39204</v>
      </c>
      <c r="BJ107" s="48">
        <f t="shared" si="40"/>
        <v>181671.40999999997</v>
      </c>
      <c r="BK107" s="628">
        <f t="shared" si="41"/>
        <v>0</v>
      </c>
    </row>
    <row r="108" spans="1:63">
      <c r="A108" s="196">
        <v>101</v>
      </c>
      <c r="B108" s="73" t="s">
        <v>588</v>
      </c>
      <c r="C108" s="139" t="s">
        <v>589</v>
      </c>
      <c r="D108" s="168">
        <v>64084.380000000005</v>
      </c>
      <c r="E108" s="170">
        <v>141560.62</v>
      </c>
      <c r="F108" s="171">
        <f t="shared" si="42"/>
        <v>205645</v>
      </c>
      <c r="G108" s="181">
        <v>125136</v>
      </c>
      <c r="H108" s="178">
        <v>80509</v>
      </c>
      <c r="I108" s="170">
        <v>203918.41000000003</v>
      </c>
      <c r="J108" s="171">
        <f t="shared" si="43"/>
        <v>284427.41000000003</v>
      </c>
      <c r="K108" s="202">
        <v>255685.08999999997</v>
      </c>
      <c r="L108" s="171">
        <v>28742.320000000065</v>
      </c>
      <c r="M108" s="197">
        <v>214574.25</v>
      </c>
      <c r="N108" s="171">
        <f t="shared" si="44"/>
        <v>243316.57000000007</v>
      </c>
      <c r="O108" s="202">
        <v>213081.1</v>
      </c>
      <c r="P108" s="238">
        <v>30235.470000000059</v>
      </c>
      <c r="Q108" s="197">
        <v>232577.49</v>
      </c>
      <c r="R108" s="171">
        <f t="shared" si="45"/>
        <v>262812.96000000008</v>
      </c>
      <c r="S108" s="202">
        <v>326085.92000000004</v>
      </c>
      <c r="T108" s="238">
        <v>0</v>
      </c>
      <c r="U108" s="238">
        <v>242656.78</v>
      </c>
      <c r="V108" s="171">
        <f t="shared" si="46"/>
        <v>242656.78</v>
      </c>
      <c r="W108" s="56">
        <v>274725.81000000006</v>
      </c>
      <c r="X108" s="568">
        <f t="shared" si="32"/>
        <v>0</v>
      </c>
      <c r="Y108" s="569">
        <v>263040.02</v>
      </c>
      <c r="Z108" s="171">
        <f t="shared" si="47"/>
        <v>263040.02</v>
      </c>
      <c r="AA108" s="48">
        <v>280142.66000000003</v>
      </c>
      <c r="AB108" s="238">
        <f t="shared" si="34"/>
        <v>0</v>
      </c>
      <c r="AC108" s="238">
        <v>261735.3</v>
      </c>
      <c r="AD108" s="171">
        <f t="shared" si="48"/>
        <v>261735.3</v>
      </c>
      <c r="AE108" s="238"/>
      <c r="AF108" s="238">
        <f t="shared" si="36"/>
        <v>0</v>
      </c>
      <c r="AG108" s="196">
        <v>101</v>
      </c>
      <c r="AH108" s="73" t="s">
        <v>588</v>
      </c>
      <c r="AI108" s="139" t="s">
        <v>589</v>
      </c>
      <c r="AJ108" s="238">
        <f t="shared" si="37"/>
        <v>0</v>
      </c>
      <c r="AK108" s="238"/>
      <c r="AL108" s="358" t="s">
        <v>588</v>
      </c>
      <c r="AM108" s="48">
        <v>280142.66000000003</v>
      </c>
      <c r="AN108" s="238" t="s">
        <v>588</v>
      </c>
      <c r="AO108" s="238">
        <v>261735.3</v>
      </c>
      <c r="AQ108" s="472">
        <f t="shared" si="38"/>
        <v>0</v>
      </c>
      <c r="AS108" t="s">
        <v>588</v>
      </c>
      <c r="AT108" t="s">
        <v>1876</v>
      </c>
      <c r="AU108" s="48">
        <v>184353.49</v>
      </c>
      <c r="AV108" s="48">
        <v>10641.59</v>
      </c>
      <c r="AW108" s="48">
        <v>5009.13</v>
      </c>
      <c r="AX108" s="48">
        <v>0</v>
      </c>
      <c r="AY108" s="48">
        <v>45693.59</v>
      </c>
      <c r="AZ108" s="48">
        <v>11385.8</v>
      </c>
      <c r="BA108" s="48">
        <v>1170.7</v>
      </c>
      <c r="BB108" s="48">
        <v>2400.1</v>
      </c>
      <c r="BC108" s="48">
        <v>1080.9000000000001</v>
      </c>
      <c r="BD108" s="48">
        <v>0</v>
      </c>
      <c r="BE108" s="48"/>
      <c r="BF108" s="48">
        <f t="shared" si="26"/>
        <v>261735.3</v>
      </c>
      <c r="BG108" s="48"/>
      <c r="BH108" s="48"/>
      <c r="BI108" s="48" t="str">
        <f t="shared" si="39"/>
        <v>31332</v>
      </c>
      <c r="BJ108" s="48">
        <f t="shared" si="40"/>
        <v>261735.3</v>
      </c>
      <c r="BK108" s="628">
        <f t="shared" si="41"/>
        <v>0</v>
      </c>
    </row>
    <row r="109" spans="1:63">
      <c r="A109" s="196">
        <v>102</v>
      </c>
      <c r="B109" s="73" t="s">
        <v>460</v>
      </c>
      <c r="C109" s="139" t="s">
        <v>461</v>
      </c>
      <c r="D109" s="168">
        <v>0</v>
      </c>
      <c r="E109" s="170">
        <v>12636.81</v>
      </c>
      <c r="F109" s="171">
        <f t="shared" si="42"/>
        <v>12636.81</v>
      </c>
      <c r="G109" s="181">
        <v>17241.560000000001</v>
      </c>
      <c r="H109" s="178">
        <v>0</v>
      </c>
      <c r="I109" s="170">
        <v>17491.39</v>
      </c>
      <c r="J109" s="171">
        <f t="shared" si="43"/>
        <v>17491.39</v>
      </c>
      <c r="K109" s="202">
        <v>20859.13</v>
      </c>
      <c r="L109" s="171">
        <v>0</v>
      </c>
      <c r="M109" s="197">
        <v>20504.309999999998</v>
      </c>
      <c r="N109" s="171">
        <f t="shared" si="44"/>
        <v>20504.309999999998</v>
      </c>
      <c r="O109" s="202">
        <v>27367.17</v>
      </c>
      <c r="P109" s="238">
        <v>0</v>
      </c>
      <c r="Q109" s="197">
        <v>23229.980000000003</v>
      </c>
      <c r="R109" s="171">
        <f t="shared" si="45"/>
        <v>23229.980000000003</v>
      </c>
      <c r="S109" s="202">
        <v>32509.79</v>
      </c>
      <c r="T109" s="238">
        <v>0</v>
      </c>
      <c r="U109" s="238">
        <v>23910.94</v>
      </c>
      <c r="V109" s="171">
        <f t="shared" si="46"/>
        <v>23910.94</v>
      </c>
      <c r="W109" s="56">
        <v>34790.21</v>
      </c>
      <c r="X109" s="568">
        <f t="shared" si="32"/>
        <v>0</v>
      </c>
      <c r="Y109" s="569">
        <v>26615.609999999997</v>
      </c>
      <c r="Z109" s="171">
        <f t="shared" si="47"/>
        <v>26615.609999999997</v>
      </c>
      <c r="AA109" s="48">
        <v>31833.17</v>
      </c>
      <c r="AB109" s="238">
        <f t="shared" si="34"/>
        <v>0</v>
      </c>
      <c r="AC109" s="238">
        <v>27476.6</v>
      </c>
      <c r="AD109" s="171">
        <f t="shared" si="48"/>
        <v>27476.6</v>
      </c>
      <c r="AE109" s="238"/>
      <c r="AF109" s="238">
        <f t="shared" si="36"/>
        <v>0</v>
      </c>
      <c r="AG109" s="196">
        <v>102</v>
      </c>
      <c r="AH109" s="73" t="s">
        <v>460</v>
      </c>
      <c r="AI109" s="139" t="s">
        <v>461</v>
      </c>
      <c r="AJ109" s="238">
        <f t="shared" si="37"/>
        <v>0</v>
      </c>
      <c r="AK109" s="238"/>
      <c r="AL109" s="358" t="s">
        <v>460</v>
      </c>
      <c r="AM109" s="48">
        <v>31833.17</v>
      </c>
      <c r="AN109" s="238" t="s">
        <v>460</v>
      </c>
      <c r="AO109" s="238">
        <v>27476.6</v>
      </c>
      <c r="AQ109" s="472">
        <f t="shared" si="38"/>
        <v>0</v>
      </c>
      <c r="AS109" t="s">
        <v>460</v>
      </c>
      <c r="AT109" t="s">
        <v>1813</v>
      </c>
      <c r="AU109" s="48">
        <v>21017.3</v>
      </c>
      <c r="AV109" s="48">
        <v>0</v>
      </c>
      <c r="AW109" s="48">
        <v>127.47</v>
      </c>
      <c r="AX109" s="48">
        <v>0</v>
      </c>
      <c r="AY109" s="48">
        <v>3298.78</v>
      </c>
      <c r="AZ109" s="48">
        <v>1174.98</v>
      </c>
      <c r="BA109" s="48">
        <v>0</v>
      </c>
      <c r="BB109" s="48">
        <v>0</v>
      </c>
      <c r="BC109" s="48">
        <v>102.95</v>
      </c>
      <c r="BD109" s="48">
        <v>1755.12</v>
      </c>
      <c r="BE109" s="48"/>
      <c r="BF109" s="48">
        <f t="shared" si="26"/>
        <v>27476.6</v>
      </c>
      <c r="BG109" s="48"/>
      <c r="BH109" s="48"/>
      <c r="BI109" s="48" t="str">
        <f t="shared" si="39"/>
        <v>23054</v>
      </c>
      <c r="BJ109" s="48">
        <f t="shared" si="40"/>
        <v>27476.6</v>
      </c>
      <c r="BK109" s="628">
        <f t="shared" si="41"/>
        <v>0</v>
      </c>
    </row>
    <row r="110" spans="1:63">
      <c r="A110" s="196">
        <v>103</v>
      </c>
      <c r="B110" s="73" t="s">
        <v>596</v>
      </c>
      <c r="C110" s="139" t="s">
        <v>597</v>
      </c>
      <c r="D110" s="168">
        <v>142.74</v>
      </c>
      <c r="E110" s="170">
        <v>2932.4700000000003</v>
      </c>
      <c r="F110" s="171">
        <f t="shared" si="42"/>
        <v>3075.21</v>
      </c>
      <c r="G110" s="181">
        <v>413.21</v>
      </c>
      <c r="H110" s="178">
        <v>2662</v>
      </c>
      <c r="I110" s="170">
        <v>4350.7</v>
      </c>
      <c r="J110" s="171">
        <f t="shared" si="43"/>
        <v>7012.7</v>
      </c>
      <c r="K110" s="202">
        <v>4362.8</v>
      </c>
      <c r="L110" s="171">
        <v>2649.8999999999996</v>
      </c>
      <c r="M110" s="197">
        <v>4211.3999999999996</v>
      </c>
      <c r="N110" s="171">
        <f t="shared" si="44"/>
        <v>6861.2999999999993</v>
      </c>
      <c r="O110" s="202">
        <v>3025.29</v>
      </c>
      <c r="P110" s="238">
        <v>3836.0099999999993</v>
      </c>
      <c r="Q110" s="197">
        <v>4771.12</v>
      </c>
      <c r="R110" s="171">
        <f t="shared" si="45"/>
        <v>8607.1299999999992</v>
      </c>
      <c r="S110" s="202">
        <v>3566.8</v>
      </c>
      <c r="T110" s="238">
        <v>5040.329999999999</v>
      </c>
      <c r="U110" s="238">
        <v>4620.67</v>
      </c>
      <c r="V110" s="171">
        <f t="shared" si="46"/>
        <v>9661</v>
      </c>
      <c r="W110" s="56">
        <v>578.36999999999989</v>
      </c>
      <c r="X110" s="568">
        <f t="shared" si="32"/>
        <v>9082.630000000001</v>
      </c>
      <c r="Y110" s="569">
        <v>5137.1000000000004</v>
      </c>
      <c r="Z110" s="171">
        <f t="shared" si="47"/>
        <v>14219.730000000001</v>
      </c>
      <c r="AA110" s="48">
        <v>7151.62</v>
      </c>
      <c r="AB110" s="238">
        <f t="shared" si="34"/>
        <v>7068.1100000000015</v>
      </c>
      <c r="AC110" s="238">
        <v>5592.92</v>
      </c>
      <c r="AD110" s="171">
        <f t="shared" si="48"/>
        <v>12661.030000000002</v>
      </c>
      <c r="AE110" s="238"/>
      <c r="AF110" s="238">
        <f t="shared" si="36"/>
        <v>0</v>
      </c>
      <c r="AG110" s="196">
        <v>103</v>
      </c>
      <c r="AH110" s="73" t="s">
        <v>596</v>
      </c>
      <c r="AI110" s="139" t="s">
        <v>597</v>
      </c>
      <c r="AJ110" s="238">
        <f t="shared" si="37"/>
        <v>0</v>
      </c>
      <c r="AK110" s="238"/>
      <c r="AL110" s="358" t="s">
        <v>596</v>
      </c>
      <c r="AM110" s="48">
        <v>7151.62</v>
      </c>
      <c r="AN110" s="238" t="s">
        <v>596</v>
      </c>
      <c r="AO110" s="238">
        <v>5592.92</v>
      </c>
      <c r="AQ110" s="472">
        <f t="shared" si="38"/>
        <v>0</v>
      </c>
      <c r="AS110" t="s">
        <v>596</v>
      </c>
      <c r="AT110" t="s">
        <v>1880</v>
      </c>
      <c r="AU110" s="48">
        <v>4258.1400000000003</v>
      </c>
      <c r="AV110" s="48">
        <v>0</v>
      </c>
      <c r="AW110" s="48">
        <v>0</v>
      </c>
      <c r="AX110" s="48">
        <v>0</v>
      </c>
      <c r="AY110" s="48">
        <v>881.53</v>
      </c>
      <c r="AZ110" s="48">
        <v>249.75</v>
      </c>
      <c r="BA110" s="48">
        <v>186.54</v>
      </c>
      <c r="BB110" s="48">
        <v>0</v>
      </c>
      <c r="BC110" s="48">
        <v>16.96</v>
      </c>
      <c r="BD110" s="48">
        <v>0</v>
      </c>
      <c r="BE110" s="48"/>
      <c r="BF110" s="48">
        <f t="shared" si="26"/>
        <v>5592.92</v>
      </c>
      <c r="BG110" s="48"/>
      <c r="BH110" s="48"/>
      <c r="BI110" s="48" t="str">
        <f t="shared" si="39"/>
        <v>32312</v>
      </c>
      <c r="BJ110" s="48">
        <f t="shared" si="40"/>
        <v>5592.92</v>
      </c>
      <c r="BK110" s="628">
        <f t="shared" si="41"/>
        <v>0</v>
      </c>
    </row>
    <row r="111" spans="1:63">
      <c r="A111" s="196">
        <v>104</v>
      </c>
      <c r="B111" s="73" t="s">
        <v>218</v>
      </c>
      <c r="C111" s="139" t="s">
        <v>219</v>
      </c>
      <c r="D111" s="168">
        <v>581.68000000000029</v>
      </c>
      <c r="E111" s="170">
        <v>9329.5500000000011</v>
      </c>
      <c r="F111" s="171">
        <f t="shared" si="42"/>
        <v>9911.2300000000014</v>
      </c>
      <c r="G111" s="181">
        <v>9842.65</v>
      </c>
      <c r="H111" s="178">
        <v>68.580000000001746</v>
      </c>
      <c r="I111" s="170">
        <v>13839.099999999999</v>
      </c>
      <c r="J111" s="171">
        <f t="shared" si="43"/>
        <v>13907.68</v>
      </c>
      <c r="K111" s="202">
        <v>13833.869999999999</v>
      </c>
      <c r="L111" s="171">
        <v>73.81000000000131</v>
      </c>
      <c r="M111" s="197">
        <v>13793.82</v>
      </c>
      <c r="N111" s="171">
        <f t="shared" si="44"/>
        <v>13867.630000000001</v>
      </c>
      <c r="O111" s="202">
        <v>14516.5</v>
      </c>
      <c r="P111" s="238">
        <v>0</v>
      </c>
      <c r="Q111" s="197">
        <v>16307.72</v>
      </c>
      <c r="R111" s="171">
        <f t="shared" si="45"/>
        <v>16307.72</v>
      </c>
      <c r="S111" s="202">
        <v>14328.02</v>
      </c>
      <c r="T111" s="238">
        <v>1979.6999999999989</v>
      </c>
      <c r="U111" s="238">
        <v>17268.3</v>
      </c>
      <c r="V111" s="171">
        <f t="shared" si="46"/>
        <v>19248</v>
      </c>
      <c r="W111" s="56">
        <v>16532.09</v>
      </c>
      <c r="X111" s="568">
        <f t="shared" si="32"/>
        <v>2715.91</v>
      </c>
      <c r="Y111" s="569">
        <v>17582.260000000002</v>
      </c>
      <c r="Z111" s="171">
        <f t="shared" si="47"/>
        <v>20298.170000000002</v>
      </c>
      <c r="AA111" s="48">
        <v>16301.49</v>
      </c>
      <c r="AB111" s="238">
        <f t="shared" si="34"/>
        <v>3996.6800000000021</v>
      </c>
      <c r="AC111" s="238">
        <v>18484.3</v>
      </c>
      <c r="AD111" s="171">
        <f t="shared" si="48"/>
        <v>22480.980000000003</v>
      </c>
      <c r="AE111" s="238"/>
      <c r="AF111" s="238">
        <f t="shared" si="36"/>
        <v>0</v>
      </c>
      <c r="AG111" s="196">
        <v>104</v>
      </c>
      <c r="AH111" s="73" t="s">
        <v>218</v>
      </c>
      <c r="AI111" s="139" t="s">
        <v>219</v>
      </c>
      <c r="AJ111" s="238">
        <f t="shared" si="37"/>
        <v>0</v>
      </c>
      <c r="AK111" s="238"/>
      <c r="AL111" s="358" t="s">
        <v>218</v>
      </c>
      <c r="AM111" s="48">
        <v>16301.49</v>
      </c>
      <c r="AN111" s="238" t="s">
        <v>218</v>
      </c>
      <c r="AO111" s="238">
        <v>18484.3</v>
      </c>
      <c r="AQ111" s="472">
        <f t="shared" si="38"/>
        <v>0</v>
      </c>
      <c r="AS111" t="s">
        <v>218</v>
      </c>
      <c r="AT111" t="s">
        <v>1688</v>
      </c>
      <c r="AU111" s="48">
        <v>18026.73</v>
      </c>
      <c r="AV111" s="48">
        <v>0</v>
      </c>
      <c r="AW111" s="48">
        <v>0</v>
      </c>
      <c r="AX111" s="48">
        <v>0</v>
      </c>
      <c r="AY111" s="48">
        <v>0</v>
      </c>
      <c r="AZ111" s="48">
        <v>375.86</v>
      </c>
      <c r="BA111" s="48">
        <v>0</v>
      </c>
      <c r="BB111" s="48">
        <v>0</v>
      </c>
      <c r="BC111" s="48">
        <v>81.709999999999994</v>
      </c>
      <c r="BD111" s="48">
        <v>0</v>
      </c>
      <c r="BE111" s="48"/>
      <c r="BF111" s="48">
        <f t="shared" si="26"/>
        <v>18484.3</v>
      </c>
      <c r="BG111" s="48"/>
      <c r="BH111" s="48"/>
      <c r="BI111" s="48" t="str">
        <f t="shared" si="39"/>
        <v>06103</v>
      </c>
      <c r="BJ111" s="48">
        <f t="shared" si="40"/>
        <v>18484.3</v>
      </c>
      <c r="BK111" s="628">
        <f t="shared" si="41"/>
        <v>0</v>
      </c>
    </row>
    <row r="112" spans="1:63">
      <c r="A112" s="196">
        <v>105</v>
      </c>
      <c r="B112" s="73" t="s">
        <v>650</v>
      </c>
      <c r="C112" s="139" t="s">
        <v>651</v>
      </c>
      <c r="D112" s="168">
        <v>0</v>
      </c>
      <c r="E112" s="170">
        <v>38176.33</v>
      </c>
      <c r="F112" s="171">
        <f t="shared" si="42"/>
        <v>38176.33</v>
      </c>
      <c r="G112" s="181">
        <v>29603.32</v>
      </c>
      <c r="H112" s="178">
        <v>8573.010000000002</v>
      </c>
      <c r="I112" s="170">
        <v>54575.31</v>
      </c>
      <c r="J112" s="171">
        <f t="shared" si="43"/>
        <v>63148.32</v>
      </c>
      <c r="K112" s="202">
        <v>60014.93</v>
      </c>
      <c r="L112" s="171">
        <v>3133.3899999999994</v>
      </c>
      <c r="M112" s="197">
        <v>55114.020000000004</v>
      </c>
      <c r="N112" s="171">
        <f t="shared" si="44"/>
        <v>58247.41</v>
      </c>
      <c r="O112" s="202">
        <v>63445.2</v>
      </c>
      <c r="P112" s="238">
        <v>0</v>
      </c>
      <c r="Q112" s="197">
        <v>56041.55</v>
      </c>
      <c r="R112" s="171">
        <f t="shared" si="45"/>
        <v>56041.55</v>
      </c>
      <c r="S112" s="202">
        <v>63667.700000000004</v>
      </c>
      <c r="T112" s="238">
        <v>0</v>
      </c>
      <c r="U112" s="238">
        <v>57803.459999999992</v>
      </c>
      <c r="V112" s="171">
        <f t="shared" si="46"/>
        <v>57803.459999999992</v>
      </c>
      <c r="W112" s="56">
        <v>57803.46</v>
      </c>
      <c r="X112" s="568">
        <f t="shared" si="32"/>
        <v>0</v>
      </c>
      <c r="Y112" s="569">
        <v>64946.61</v>
      </c>
      <c r="Z112" s="171">
        <f t="shared" si="47"/>
        <v>64946.61</v>
      </c>
      <c r="AA112" s="48">
        <v>74801.850000000006</v>
      </c>
      <c r="AB112" s="238">
        <f t="shared" si="34"/>
        <v>0</v>
      </c>
      <c r="AC112" s="238">
        <v>63106.92</v>
      </c>
      <c r="AD112" s="171">
        <f t="shared" si="48"/>
        <v>63106.92</v>
      </c>
      <c r="AE112" s="238"/>
      <c r="AF112" s="238">
        <f t="shared" si="36"/>
        <v>0</v>
      </c>
      <c r="AG112" s="196">
        <v>105</v>
      </c>
      <c r="AH112" s="73" t="s">
        <v>650</v>
      </c>
      <c r="AI112" s="139" t="s">
        <v>651</v>
      </c>
      <c r="AJ112" s="238">
        <f t="shared" si="37"/>
        <v>0</v>
      </c>
      <c r="AK112" s="238"/>
      <c r="AL112" s="358" t="s">
        <v>650</v>
      </c>
      <c r="AM112" s="48">
        <v>74801.850000000006</v>
      </c>
      <c r="AN112" s="238" t="s">
        <v>650</v>
      </c>
      <c r="AO112" s="238">
        <v>63106.92</v>
      </c>
      <c r="AQ112" s="472">
        <f t="shared" si="38"/>
        <v>0</v>
      </c>
      <c r="AS112" t="s">
        <v>650</v>
      </c>
      <c r="AT112" t="s">
        <v>1909</v>
      </c>
      <c r="AU112" s="48">
        <v>50100.21</v>
      </c>
      <c r="AV112" s="48">
        <v>0</v>
      </c>
      <c r="AW112" s="48">
        <v>0</v>
      </c>
      <c r="AX112" s="48">
        <v>0</v>
      </c>
      <c r="AY112" s="48">
        <v>8138.07</v>
      </c>
      <c r="AZ112" s="48">
        <v>1668.1</v>
      </c>
      <c r="BA112" s="48">
        <v>0</v>
      </c>
      <c r="BB112" s="48">
        <v>57.04</v>
      </c>
      <c r="BC112" s="48">
        <v>246.67</v>
      </c>
      <c r="BD112" s="48">
        <v>2896.83</v>
      </c>
      <c r="BE112" s="48"/>
      <c r="BF112" s="48">
        <f t="shared" si="26"/>
        <v>63106.92</v>
      </c>
      <c r="BG112" s="48"/>
      <c r="BH112" s="48"/>
      <c r="BI112" s="48" t="str">
        <f t="shared" si="39"/>
        <v>34324</v>
      </c>
      <c r="BJ112" s="48">
        <f t="shared" si="40"/>
        <v>63106.92</v>
      </c>
      <c r="BK112" s="628">
        <f t="shared" si="41"/>
        <v>0</v>
      </c>
    </row>
    <row r="113" spans="1:63">
      <c r="A113" s="196">
        <v>106</v>
      </c>
      <c r="B113" s="73" t="s">
        <v>454</v>
      </c>
      <c r="C113" s="139" t="s">
        <v>455</v>
      </c>
      <c r="D113" s="168">
        <v>914.59999999999945</v>
      </c>
      <c r="E113" s="170">
        <v>15600.23</v>
      </c>
      <c r="F113" s="171">
        <f t="shared" si="42"/>
        <v>16514.829999999998</v>
      </c>
      <c r="G113" s="181"/>
      <c r="H113" s="178">
        <v>16514.829999999998</v>
      </c>
      <c r="I113" s="170">
        <v>22758.850000000002</v>
      </c>
      <c r="J113" s="171">
        <f t="shared" si="43"/>
        <v>39273.68</v>
      </c>
      <c r="K113" s="202"/>
      <c r="L113" s="171">
        <v>39273.68</v>
      </c>
      <c r="M113" s="197">
        <v>23621.97</v>
      </c>
      <c r="N113" s="171">
        <f t="shared" si="44"/>
        <v>62895.65</v>
      </c>
      <c r="O113" s="202">
        <v>1157.26</v>
      </c>
      <c r="P113" s="238">
        <v>61738.39</v>
      </c>
      <c r="Q113" s="197">
        <v>26241.140000000003</v>
      </c>
      <c r="R113" s="171">
        <f t="shared" si="45"/>
        <v>87979.53</v>
      </c>
      <c r="S113" s="202">
        <v>18469.16</v>
      </c>
      <c r="T113" s="238">
        <v>69510.37</v>
      </c>
      <c r="U113" s="238">
        <v>25061.57</v>
      </c>
      <c r="V113" s="171">
        <f t="shared" si="46"/>
        <v>94571.94</v>
      </c>
      <c r="W113" s="56">
        <v>7113.4200000000019</v>
      </c>
      <c r="X113" s="568">
        <f t="shared" si="32"/>
        <v>87458.52</v>
      </c>
      <c r="Y113" s="569">
        <v>26186.17</v>
      </c>
      <c r="Z113" s="171">
        <f t="shared" si="47"/>
        <v>113644.69</v>
      </c>
      <c r="AA113" s="48">
        <v>8344.27</v>
      </c>
      <c r="AB113" s="238">
        <f t="shared" si="34"/>
        <v>105300.42</v>
      </c>
      <c r="AC113" s="238">
        <v>26301.739999999998</v>
      </c>
      <c r="AD113" s="171">
        <f t="shared" si="48"/>
        <v>131602.16</v>
      </c>
      <c r="AE113" s="238"/>
      <c r="AF113" s="238">
        <f t="shared" si="36"/>
        <v>0</v>
      </c>
      <c r="AG113" s="196">
        <v>106</v>
      </c>
      <c r="AH113" s="73" t="s">
        <v>454</v>
      </c>
      <c r="AI113" s="139" t="s">
        <v>455</v>
      </c>
      <c r="AJ113" s="238">
        <f t="shared" si="37"/>
        <v>0</v>
      </c>
      <c r="AK113" s="238"/>
      <c r="AL113" s="358" t="s">
        <v>454</v>
      </c>
      <c r="AM113" s="48">
        <v>8344.27</v>
      </c>
      <c r="AN113" s="238" t="s">
        <v>454</v>
      </c>
      <c r="AO113" s="238">
        <v>26301.739999999998</v>
      </c>
      <c r="AQ113" s="472">
        <f t="shared" si="38"/>
        <v>0</v>
      </c>
      <c r="AS113" t="s">
        <v>454</v>
      </c>
      <c r="AT113" t="s">
        <v>1810</v>
      </c>
      <c r="AU113" s="48">
        <v>21444.87</v>
      </c>
      <c r="AV113" s="48">
        <v>665.4</v>
      </c>
      <c r="AW113" s="48">
        <v>229.28</v>
      </c>
      <c r="AX113" s="48">
        <v>0</v>
      </c>
      <c r="AY113" s="48">
        <v>2700.34</v>
      </c>
      <c r="AZ113" s="48">
        <v>675.01</v>
      </c>
      <c r="BA113" s="48">
        <v>538.73</v>
      </c>
      <c r="BB113" s="48">
        <v>0</v>
      </c>
      <c r="BC113" s="48">
        <v>48.11</v>
      </c>
      <c r="BD113" s="48">
        <v>0</v>
      </c>
      <c r="BE113" s="48"/>
      <c r="BF113" s="48">
        <f t="shared" si="26"/>
        <v>26301.739999999998</v>
      </c>
      <c r="BG113" s="48"/>
      <c r="BH113" s="48"/>
      <c r="BI113" s="48" t="str">
        <f t="shared" si="39"/>
        <v>22204</v>
      </c>
      <c r="BJ113" s="48">
        <f t="shared" si="40"/>
        <v>26301.739999999998</v>
      </c>
      <c r="BK113" s="628">
        <f t="shared" si="41"/>
        <v>0</v>
      </c>
    </row>
    <row r="114" spans="1:63">
      <c r="A114" s="196">
        <v>107</v>
      </c>
      <c r="B114" s="73" t="s">
        <v>728</v>
      </c>
      <c r="C114" s="139" t="s">
        <v>729</v>
      </c>
      <c r="D114" s="168">
        <v>12406.689999999991</v>
      </c>
      <c r="E114" s="170">
        <v>76151.5</v>
      </c>
      <c r="F114" s="171">
        <f t="shared" si="42"/>
        <v>88558.189999999988</v>
      </c>
      <c r="G114" s="181">
        <v>55367.26</v>
      </c>
      <c r="H114" s="178">
        <v>33190.929999999986</v>
      </c>
      <c r="I114" s="170">
        <v>107022.85</v>
      </c>
      <c r="J114" s="171">
        <f t="shared" si="43"/>
        <v>140213.78</v>
      </c>
      <c r="K114" s="202">
        <v>126390.23000000001</v>
      </c>
      <c r="L114" s="171">
        <v>13823.549999999988</v>
      </c>
      <c r="M114" s="197">
        <v>105293.4</v>
      </c>
      <c r="N114" s="171">
        <f t="shared" si="44"/>
        <v>119116.94999999998</v>
      </c>
      <c r="O114" s="202">
        <v>88663.01999999999</v>
      </c>
      <c r="P114" s="238">
        <v>30453.929999999993</v>
      </c>
      <c r="Q114" s="197">
        <v>119342.03</v>
      </c>
      <c r="R114" s="171">
        <f t="shared" si="45"/>
        <v>149795.96</v>
      </c>
      <c r="S114" s="202">
        <v>99913.11</v>
      </c>
      <c r="T114" s="238">
        <v>49882.849999999991</v>
      </c>
      <c r="U114" s="238">
        <v>120118.32</v>
      </c>
      <c r="V114" s="171">
        <f t="shared" si="46"/>
        <v>170001.16999999998</v>
      </c>
      <c r="W114" s="56">
        <v>109485.75999999999</v>
      </c>
      <c r="X114" s="568">
        <f t="shared" si="32"/>
        <v>60515.409999999989</v>
      </c>
      <c r="Y114" s="569">
        <v>126947.34999999998</v>
      </c>
      <c r="Z114" s="171">
        <f t="shared" si="47"/>
        <v>187462.75999999995</v>
      </c>
      <c r="AA114" s="48">
        <v>141176.55000000002</v>
      </c>
      <c r="AB114" s="238">
        <f t="shared" si="34"/>
        <v>46286.209999999934</v>
      </c>
      <c r="AC114" s="238">
        <v>121262.57</v>
      </c>
      <c r="AD114" s="171">
        <f t="shared" si="48"/>
        <v>167548.77999999994</v>
      </c>
      <c r="AE114" s="238"/>
      <c r="AF114" s="238">
        <f t="shared" si="36"/>
        <v>0</v>
      </c>
      <c r="AG114" s="196">
        <v>107</v>
      </c>
      <c r="AH114" s="73" t="s">
        <v>728</v>
      </c>
      <c r="AI114" s="139" t="s">
        <v>729</v>
      </c>
      <c r="AJ114" s="238">
        <f t="shared" si="37"/>
        <v>0</v>
      </c>
      <c r="AK114" s="238"/>
      <c r="AL114" s="358" t="s">
        <v>728</v>
      </c>
      <c r="AM114" s="48">
        <v>141176.55000000002</v>
      </c>
      <c r="AN114" s="238" t="s">
        <v>728</v>
      </c>
      <c r="AO114" s="238">
        <v>121262.57</v>
      </c>
      <c r="AQ114" s="472">
        <f t="shared" si="38"/>
        <v>0</v>
      </c>
      <c r="AS114" t="s">
        <v>728</v>
      </c>
      <c r="AT114" t="s">
        <v>1951</v>
      </c>
      <c r="AU114" s="48">
        <v>77215.41</v>
      </c>
      <c r="AV114" s="48">
        <v>4082.38</v>
      </c>
      <c r="AW114" s="48">
        <v>0</v>
      </c>
      <c r="AX114" s="48">
        <v>0</v>
      </c>
      <c r="AY114" s="48">
        <v>12411.75</v>
      </c>
      <c r="AZ114" s="48">
        <v>8359.02</v>
      </c>
      <c r="BA114" s="48">
        <v>4762.2700000000004</v>
      </c>
      <c r="BB114" s="48">
        <v>8064.56</v>
      </c>
      <c r="BC114" s="48">
        <v>420.89</v>
      </c>
      <c r="BD114" s="48">
        <v>5946.29</v>
      </c>
      <c r="BE114" s="48"/>
      <c r="BF114" s="48">
        <f t="shared" si="26"/>
        <v>121262.57</v>
      </c>
      <c r="BG114" s="48"/>
      <c r="BH114" s="48"/>
      <c r="BI114" s="48" t="str">
        <f t="shared" si="39"/>
        <v>39203</v>
      </c>
      <c r="BJ114" s="48">
        <f t="shared" si="40"/>
        <v>121262.57</v>
      </c>
      <c r="BK114" s="628">
        <f t="shared" si="41"/>
        <v>0</v>
      </c>
    </row>
    <row r="115" spans="1:63">
      <c r="A115" s="196">
        <v>108</v>
      </c>
      <c r="B115" s="73" t="s">
        <v>346</v>
      </c>
      <c r="C115" s="139" t="s">
        <v>347</v>
      </c>
      <c r="D115" s="168">
        <v>48157.130000000005</v>
      </c>
      <c r="E115" s="170">
        <v>1497782.76</v>
      </c>
      <c r="F115" s="171">
        <f t="shared" si="42"/>
        <v>1545939.8900000001</v>
      </c>
      <c r="G115" s="181">
        <v>925131.03</v>
      </c>
      <c r="H115" s="178">
        <v>620808.8600000001</v>
      </c>
      <c r="I115" s="170">
        <v>2194656.54</v>
      </c>
      <c r="J115" s="171">
        <f t="shared" si="43"/>
        <v>2815465.4000000004</v>
      </c>
      <c r="K115" s="202">
        <v>3013965.89</v>
      </c>
      <c r="L115" s="171">
        <v>0</v>
      </c>
      <c r="M115" s="197">
        <v>2133703.48</v>
      </c>
      <c r="N115" s="171">
        <f t="shared" si="44"/>
        <v>2133703.48</v>
      </c>
      <c r="O115" s="202">
        <v>3067904.7300000004</v>
      </c>
      <c r="P115" s="238">
        <v>0</v>
      </c>
      <c r="Q115" s="197">
        <v>2303648.75</v>
      </c>
      <c r="R115" s="171">
        <f t="shared" si="45"/>
        <v>2303648.75</v>
      </c>
      <c r="S115" s="202">
        <v>5169671.13</v>
      </c>
      <c r="T115" s="238">
        <v>0</v>
      </c>
      <c r="U115" s="238">
        <v>2363697.7799999998</v>
      </c>
      <c r="V115" s="171">
        <f t="shared" si="46"/>
        <v>2363697.7799999998</v>
      </c>
      <c r="W115" s="56">
        <v>2758997.1099999989</v>
      </c>
      <c r="X115" s="568">
        <f t="shared" si="32"/>
        <v>0</v>
      </c>
      <c r="Y115" s="569">
        <v>2518764.4</v>
      </c>
      <c r="Z115" s="171">
        <f t="shared" si="47"/>
        <v>2518764.4</v>
      </c>
      <c r="AA115" s="48">
        <v>2660812.89</v>
      </c>
      <c r="AB115" s="238">
        <f t="shared" si="34"/>
        <v>0</v>
      </c>
      <c r="AC115" s="238">
        <v>2517447.11</v>
      </c>
      <c r="AD115" s="171">
        <f t="shared" si="48"/>
        <v>2517447.11</v>
      </c>
      <c r="AE115" s="238"/>
      <c r="AF115" s="238">
        <f t="shared" si="36"/>
        <v>0</v>
      </c>
      <c r="AG115" s="196">
        <v>108</v>
      </c>
      <c r="AH115" s="73" t="s">
        <v>346</v>
      </c>
      <c r="AI115" s="139" t="s">
        <v>347</v>
      </c>
      <c r="AJ115" s="238">
        <f t="shared" si="37"/>
        <v>0</v>
      </c>
      <c r="AK115" s="238"/>
      <c r="AL115" s="358" t="s">
        <v>346</v>
      </c>
      <c r="AM115" s="48">
        <v>2660812.89</v>
      </c>
      <c r="AN115" s="238" t="s">
        <v>346</v>
      </c>
      <c r="AO115" s="238">
        <v>2517447.11</v>
      </c>
      <c r="AQ115" s="472">
        <f t="shared" si="38"/>
        <v>0</v>
      </c>
      <c r="AS115" t="s">
        <v>346</v>
      </c>
      <c r="AT115" t="s">
        <v>1753</v>
      </c>
      <c r="AU115" s="48">
        <v>1600302.33</v>
      </c>
      <c r="AV115" s="48">
        <v>77719.48</v>
      </c>
      <c r="AW115" s="48">
        <v>8255.49</v>
      </c>
      <c r="AX115" s="48">
        <v>66244.03</v>
      </c>
      <c r="AY115" s="48">
        <v>323133.40999999997</v>
      </c>
      <c r="AZ115" s="48">
        <v>146735.95000000001</v>
      </c>
      <c r="BA115" s="48">
        <v>78439.88</v>
      </c>
      <c r="BB115" s="48">
        <v>200724.08</v>
      </c>
      <c r="BC115" s="48">
        <v>9257.8700000000008</v>
      </c>
      <c r="BD115" s="48">
        <v>6634.59</v>
      </c>
      <c r="BE115" s="48"/>
      <c r="BF115" s="48">
        <f t="shared" si="26"/>
        <v>2517447.11</v>
      </c>
      <c r="BG115" s="48"/>
      <c r="BH115" s="48"/>
      <c r="BI115" s="48" t="str">
        <f t="shared" si="39"/>
        <v>17401</v>
      </c>
      <c r="BJ115" s="48">
        <f t="shared" si="40"/>
        <v>2517447.11</v>
      </c>
      <c r="BK115" s="628">
        <f t="shared" si="41"/>
        <v>0</v>
      </c>
    </row>
    <row r="116" spans="1:63">
      <c r="A116" s="196">
        <v>109</v>
      </c>
      <c r="B116" s="73" t="s">
        <v>215</v>
      </c>
      <c r="C116" s="139" t="s">
        <v>216</v>
      </c>
      <c r="D116" s="168">
        <v>0</v>
      </c>
      <c r="E116" s="170">
        <v>117929.25000000001</v>
      </c>
      <c r="F116" s="171">
        <f t="shared" si="42"/>
        <v>117929.25000000001</v>
      </c>
      <c r="G116" s="181">
        <v>116644.08</v>
      </c>
      <c r="H116" s="178">
        <v>1285.1700000000128</v>
      </c>
      <c r="I116" s="170">
        <v>157366.15</v>
      </c>
      <c r="J116" s="171">
        <f t="shared" si="43"/>
        <v>158651.32</v>
      </c>
      <c r="K116" s="202">
        <v>183598.90000000002</v>
      </c>
      <c r="L116" s="171">
        <v>0</v>
      </c>
      <c r="M116" s="197">
        <v>170951.08999999997</v>
      </c>
      <c r="N116" s="171">
        <f t="shared" si="44"/>
        <v>170951.08999999997</v>
      </c>
      <c r="O116" s="202">
        <v>171429.02</v>
      </c>
      <c r="P116" s="238">
        <v>0</v>
      </c>
      <c r="Q116" s="197">
        <v>193424.22</v>
      </c>
      <c r="R116" s="171">
        <f t="shared" si="45"/>
        <v>193424.22</v>
      </c>
      <c r="S116" s="202">
        <v>187217.93</v>
      </c>
      <c r="T116" s="238">
        <v>6206.2900000000081</v>
      </c>
      <c r="U116" s="238">
        <v>193242.3</v>
      </c>
      <c r="V116" s="171">
        <f t="shared" si="46"/>
        <v>199448.59</v>
      </c>
      <c r="W116" s="56">
        <v>205329.86000000004</v>
      </c>
      <c r="X116" s="568">
        <f t="shared" si="32"/>
        <v>0</v>
      </c>
      <c r="Y116" s="569">
        <v>221038.05999999997</v>
      </c>
      <c r="Z116" s="171">
        <f t="shared" si="47"/>
        <v>221038.05999999997</v>
      </c>
      <c r="AA116" s="48">
        <v>230893.46999999994</v>
      </c>
      <c r="AB116" s="238">
        <f t="shared" si="34"/>
        <v>0</v>
      </c>
      <c r="AC116" s="238">
        <v>214191.02000000002</v>
      </c>
      <c r="AD116" s="171">
        <f t="shared" si="48"/>
        <v>214191.02000000002</v>
      </c>
      <c r="AE116" s="238"/>
      <c r="AF116" s="238">
        <f t="shared" si="36"/>
        <v>0</v>
      </c>
      <c r="AG116" s="196">
        <v>109</v>
      </c>
      <c r="AH116" s="73" t="s">
        <v>215</v>
      </c>
      <c r="AI116" s="139" t="s">
        <v>216</v>
      </c>
      <c r="AJ116" s="238">
        <f t="shared" si="37"/>
        <v>0</v>
      </c>
      <c r="AK116" s="238"/>
      <c r="AL116" s="358" t="s">
        <v>215</v>
      </c>
      <c r="AM116" s="48">
        <v>230893.46999999994</v>
      </c>
      <c r="AN116" s="238" t="s">
        <v>215</v>
      </c>
      <c r="AO116" s="238">
        <v>214191.02000000002</v>
      </c>
      <c r="AQ116" s="472">
        <f t="shared" si="38"/>
        <v>0</v>
      </c>
      <c r="AS116" t="s">
        <v>215</v>
      </c>
      <c r="AT116" t="s">
        <v>1686</v>
      </c>
      <c r="AU116" s="48">
        <v>169264.34</v>
      </c>
      <c r="AV116" s="48">
        <v>7193.7</v>
      </c>
      <c r="AW116" s="48">
        <v>1428.29</v>
      </c>
      <c r="AX116" s="48">
        <v>0</v>
      </c>
      <c r="AY116" s="48">
        <v>19232.34</v>
      </c>
      <c r="AZ116" s="48">
        <v>5566.04</v>
      </c>
      <c r="BA116" s="48">
        <v>0</v>
      </c>
      <c r="BB116" s="48">
        <v>3119.66</v>
      </c>
      <c r="BC116" s="48">
        <v>931.49</v>
      </c>
      <c r="BD116" s="48">
        <v>7455.16</v>
      </c>
      <c r="BE116" s="48"/>
      <c r="BF116" s="48">
        <f t="shared" si="26"/>
        <v>214191.02000000002</v>
      </c>
      <c r="BG116" s="48"/>
      <c r="BH116" s="48"/>
      <c r="BI116" s="48" t="str">
        <f t="shared" si="39"/>
        <v>06098</v>
      </c>
      <c r="BJ116" s="48">
        <f t="shared" si="40"/>
        <v>214191.02000000002</v>
      </c>
      <c r="BK116" s="628">
        <f t="shared" si="41"/>
        <v>0</v>
      </c>
    </row>
    <row r="117" spans="1:63">
      <c r="A117" s="196">
        <v>110</v>
      </c>
      <c r="B117" s="73" t="s">
        <v>470</v>
      </c>
      <c r="C117" s="139" t="s">
        <v>471</v>
      </c>
      <c r="D117" s="168">
        <v>122.08000000000175</v>
      </c>
      <c r="E117" s="170">
        <v>21062.17</v>
      </c>
      <c r="F117" s="171">
        <f t="shared" si="42"/>
        <v>21184.25</v>
      </c>
      <c r="G117" s="181">
        <v>21583.11</v>
      </c>
      <c r="H117" s="178">
        <v>0</v>
      </c>
      <c r="I117" s="170">
        <v>30066.17</v>
      </c>
      <c r="J117" s="171">
        <f t="shared" si="43"/>
        <v>30066.17</v>
      </c>
      <c r="K117" s="202">
        <v>38715.310000000005</v>
      </c>
      <c r="L117" s="171">
        <v>0</v>
      </c>
      <c r="M117" s="197">
        <v>31164.29</v>
      </c>
      <c r="N117" s="171">
        <f t="shared" si="44"/>
        <v>31164.29</v>
      </c>
      <c r="O117" s="202">
        <v>25587.019999999997</v>
      </c>
      <c r="P117" s="238">
        <v>5577.2700000000041</v>
      </c>
      <c r="Q117" s="197">
        <v>36971.61</v>
      </c>
      <c r="R117" s="171">
        <f t="shared" si="45"/>
        <v>42548.880000000005</v>
      </c>
      <c r="S117" s="202">
        <v>32214.300000000003</v>
      </c>
      <c r="T117" s="238">
        <v>10334.580000000002</v>
      </c>
      <c r="U117" s="238">
        <v>37463.919999999998</v>
      </c>
      <c r="V117" s="171">
        <f t="shared" si="46"/>
        <v>47798.5</v>
      </c>
      <c r="W117" s="56">
        <v>37421.040000000001</v>
      </c>
      <c r="X117" s="568">
        <f t="shared" si="32"/>
        <v>10377.459999999999</v>
      </c>
      <c r="Y117" s="569">
        <v>40022.880000000005</v>
      </c>
      <c r="Z117" s="171">
        <f t="shared" si="47"/>
        <v>50400.340000000004</v>
      </c>
      <c r="AA117" s="48">
        <v>35022.159999999996</v>
      </c>
      <c r="AB117" s="238">
        <f t="shared" si="34"/>
        <v>15378.180000000008</v>
      </c>
      <c r="AC117" s="238">
        <v>41685.509999999995</v>
      </c>
      <c r="AD117" s="171">
        <f t="shared" si="48"/>
        <v>57063.69</v>
      </c>
      <c r="AE117" s="238"/>
      <c r="AF117" s="238">
        <f t="shared" si="36"/>
        <v>0</v>
      </c>
      <c r="AG117" s="196">
        <v>110</v>
      </c>
      <c r="AH117" s="73" t="s">
        <v>470</v>
      </c>
      <c r="AI117" s="139" t="s">
        <v>471</v>
      </c>
      <c r="AJ117" s="238">
        <f t="shared" si="37"/>
        <v>0</v>
      </c>
      <c r="AK117" s="238"/>
      <c r="AL117" s="358" t="s">
        <v>470</v>
      </c>
      <c r="AM117" s="48">
        <v>35022.159999999996</v>
      </c>
      <c r="AN117" s="238" t="s">
        <v>470</v>
      </c>
      <c r="AO117" s="238">
        <v>41685.509999999995</v>
      </c>
      <c r="AQ117" s="472">
        <f t="shared" si="38"/>
        <v>0</v>
      </c>
      <c r="AS117" t="s">
        <v>470</v>
      </c>
      <c r="AT117" t="s">
        <v>1818</v>
      </c>
      <c r="AU117" s="48">
        <v>29638.94</v>
      </c>
      <c r="AV117" s="48">
        <v>0</v>
      </c>
      <c r="AW117" s="48">
        <v>0</v>
      </c>
      <c r="AX117" s="48">
        <v>0</v>
      </c>
      <c r="AY117" s="48">
        <v>6757.05</v>
      </c>
      <c r="AZ117" s="48">
        <v>2354.15</v>
      </c>
      <c r="BA117" s="48">
        <v>1433.77</v>
      </c>
      <c r="BB117" s="48">
        <v>417.79</v>
      </c>
      <c r="BC117" s="48">
        <v>141.84</v>
      </c>
      <c r="BD117" s="48">
        <v>941.97</v>
      </c>
      <c r="BE117" s="48"/>
      <c r="BF117" s="48">
        <f t="shared" si="26"/>
        <v>41685.509999999995</v>
      </c>
      <c r="BG117" s="48"/>
      <c r="BH117" s="48"/>
      <c r="BI117" s="48" t="str">
        <f t="shared" si="39"/>
        <v>23404</v>
      </c>
      <c r="BJ117" s="48">
        <f t="shared" si="40"/>
        <v>41685.509999999995</v>
      </c>
      <c r="BK117" s="628">
        <f t="shared" si="41"/>
        <v>0</v>
      </c>
    </row>
    <row r="118" spans="1:63">
      <c r="A118" s="196">
        <v>111</v>
      </c>
      <c r="B118" s="73" t="s">
        <v>299</v>
      </c>
      <c r="C118" s="139" t="s">
        <v>300</v>
      </c>
      <c r="D118" s="168">
        <v>5284.9500000000044</v>
      </c>
      <c r="E118" s="170">
        <v>100759.10999999999</v>
      </c>
      <c r="F118" s="171">
        <f t="shared" si="42"/>
        <v>106044.06</v>
      </c>
      <c r="G118" s="181">
        <v>90007</v>
      </c>
      <c r="H118" s="178">
        <v>16037.059999999998</v>
      </c>
      <c r="I118" s="170">
        <v>142919.77000000002</v>
      </c>
      <c r="J118" s="171">
        <f t="shared" si="43"/>
        <v>158956.83000000002</v>
      </c>
      <c r="K118" s="202">
        <v>145002.62</v>
      </c>
      <c r="L118" s="171">
        <v>13954.210000000021</v>
      </c>
      <c r="M118" s="197">
        <v>144378.49</v>
      </c>
      <c r="N118" s="171">
        <f t="shared" si="44"/>
        <v>158332.70000000001</v>
      </c>
      <c r="O118" s="202">
        <v>193769.5</v>
      </c>
      <c r="P118" s="238">
        <v>0</v>
      </c>
      <c r="Q118" s="197">
        <v>165468.27000000002</v>
      </c>
      <c r="R118" s="171">
        <f t="shared" si="45"/>
        <v>165468.27000000002</v>
      </c>
      <c r="S118" s="202">
        <v>187388.46000000005</v>
      </c>
      <c r="T118" s="238">
        <v>0</v>
      </c>
      <c r="U118" s="238">
        <v>164723.54</v>
      </c>
      <c r="V118" s="171">
        <f t="shared" si="46"/>
        <v>164723.54</v>
      </c>
      <c r="W118" s="56">
        <v>196785.08999999994</v>
      </c>
      <c r="X118" s="568">
        <f t="shared" si="32"/>
        <v>0</v>
      </c>
      <c r="Y118" s="569">
        <v>171083.05999999997</v>
      </c>
      <c r="Z118" s="171">
        <f t="shared" si="47"/>
        <v>171083.05999999997</v>
      </c>
      <c r="AA118" s="48">
        <v>184438.22000000009</v>
      </c>
      <c r="AB118" s="238">
        <f t="shared" si="34"/>
        <v>0</v>
      </c>
      <c r="AC118" s="238">
        <v>172070.69</v>
      </c>
      <c r="AD118" s="171">
        <f t="shared" si="48"/>
        <v>172070.69</v>
      </c>
      <c r="AE118" s="238"/>
      <c r="AF118" s="238">
        <f t="shared" si="36"/>
        <v>0</v>
      </c>
      <c r="AG118" s="196">
        <v>111</v>
      </c>
      <c r="AH118" s="73" t="s">
        <v>299</v>
      </c>
      <c r="AI118" s="139" t="s">
        <v>300</v>
      </c>
      <c r="AJ118" s="238">
        <f t="shared" si="37"/>
        <v>0</v>
      </c>
      <c r="AK118" s="238"/>
      <c r="AL118" s="358" t="s">
        <v>299</v>
      </c>
      <c r="AM118" s="48">
        <v>184438.22000000009</v>
      </c>
      <c r="AN118" s="238" t="s">
        <v>299</v>
      </c>
      <c r="AO118" s="238">
        <v>172070.69</v>
      </c>
      <c r="AQ118" s="472">
        <f t="shared" si="38"/>
        <v>0</v>
      </c>
      <c r="AS118" t="s">
        <v>299</v>
      </c>
      <c r="AT118" t="s">
        <v>1729</v>
      </c>
      <c r="AU118" s="48">
        <v>110773.32</v>
      </c>
      <c r="AV118" s="48">
        <v>8872.41</v>
      </c>
      <c r="AW118" s="48">
        <v>1857.73</v>
      </c>
      <c r="AX118" s="48">
        <v>0</v>
      </c>
      <c r="AY118" s="48">
        <v>26606.35</v>
      </c>
      <c r="AZ118" s="48">
        <v>11295.94</v>
      </c>
      <c r="BA118" s="48">
        <v>7030.09</v>
      </c>
      <c r="BB118" s="48">
        <v>3103.41</v>
      </c>
      <c r="BC118" s="48">
        <v>667.55</v>
      </c>
      <c r="BD118" s="48">
        <v>1863.89</v>
      </c>
      <c r="BE118" s="48"/>
      <c r="BF118" s="48">
        <f t="shared" si="26"/>
        <v>172070.69</v>
      </c>
      <c r="BG118" s="48"/>
      <c r="BH118" s="48"/>
      <c r="BI118" s="48" t="str">
        <f t="shared" si="39"/>
        <v>14028</v>
      </c>
      <c r="BJ118" s="48">
        <f t="shared" si="40"/>
        <v>172070.69</v>
      </c>
      <c r="BK118" s="628">
        <f t="shared" si="41"/>
        <v>0</v>
      </c>
    </row>
    <row r="119" spans="1:63">
      <c r="A119" s="196">
        <v>112</v>
      </c>
      <c r="B119" s="290" t="s">
        <v>2303</v>
      </c>
      <c r="C119" s="295" t="s">
        <v>2302</v>
      </c>
      <c r="D119" s="168"/>
      <c r="E119" s="170"/>
      <c r="F119" s="171"/>
      <c r="G119" s="181"/>
      <c r="H119" s="178"/>
      <c r="I119" s="170"/>
      <c r="J119" s="171"/>
      <c r="K119" s="202"/>
      <c r="L119" s="171"/>
      <c r="M119" s="197"/>
      <c r="N119" s="171"/>
      <c r="O119" s="202"/>
      <c r="P119" s="238"/>
      <c r="Q119" s="197"/>
      <c r="R119" s="171"/>
      <c r="S119" s="202">
        <v>0</v>
      </c>
      <c r="T119" s="238">
        <v>0</v>
      </c>
      <c r="U119" s="238">
        <v>20265.169999999998</v>
      </c>
      <c r="V119" s="171"/>
      <c r="W119" s="56">
        <v>23827.69</v>
      </c>
      <c r="X119" s="568">
        <f t="shared" si="32"/>
        <v>0</v>
      </c>
      <c r="Y119" s="569">
        <v>33778.189999999995</v>
      </c>
      <c r="Z119" s="171"/>
      <c r="AA119" s="48">
        <v>33777.990000000005</v>
      </c>
      <c r="AB119" s="238">
        <f t="shared" si="34"/>
        <v>0</v>
      </c>
      <c r="AC119" s="238">
        <v>44257.24</v>
      </c>
      <c r="AD119" s="171"/>
      <c r="AE119" s="238"/>
      <c r="AF119" s="238">
        <f t="shared" si="36"/>
        <v>0</v>
      </c>
      <c r="AG119" s="196">
        <v>112</v>
      </c>
      <c r="AH119" s="290" t="s">
        <v>2303</v>
      </c>
      <c r="AI119" s="295" t="s">
        <v>2302</v>
      </c>
      <c r="AJ119" s="238">
        <f t="shared" si="37"/>
        <v>0</v>
      </c>
      <c r="AK119" s="238"/>
      <c r="AL119" s="358" t="s">
        <v>2303</v>
      </c>
      <c r="AM119" s="48">
        <v>33777.990000000005</v>
      </c>
      <c r="AN119" s="238" t="s">
        <v>2303</v>
      </c>
      <c r="AO119" s="238">
        <v>44257.24</v>
      </c>
      <c r="AQ119" s="472">
        <f t="shared" si="38"/>
        <v>0</v>
      </c>
      <c r="AS119" t="s">
        <v>2303</v>
      </c>
      <c r="AT119" t="s">
        <v>2393</v>
      </c>
      <c r="AU119" s="48">
        <v>34681.050000000003</v>
      </c>
      <c r="AV119" s="48">
        <v>0</v>
      </c>
      <c r="AW119" s="48">
        <v>0</v>
      </c>
      <c r="AX119" s="48">
        <v>0</v>
      </c>
      <c r="AY119" s="48">
        <v>4971.8100000000004</v>
      </c>
      <c r="AZ119" s="48">
        <v>1464.45</v>
      </c>
      <c r="BA119" s="48">
        <v>1073.32</v>
      </c>
      <c r="BB119" s="48">
        <v>1926.53</v>
      </c>
      <c r="BC119" s="48">
        <v>140.08000000000001</v>
      </c>
      <c r="BD119" s="48">
        <v>0</v>
      </c>
      <c r="BE119" s="48"/>
      <c r="BF119" s="48">
        <f t="shared" si="26"/>
        <v>44257.24</v>
      </c>
      <c r="BG119" s="48"/>
      <c r="BH119" s="48"/>
      <c r="BI119" s="48" t="str">
        <f t="shared" si="39"/>
        <v>17919</v>
      </c>
      <c r="BJ119" s="48">
        <f t="shared" si="40"/>
        <v>44257.24</v>
      </c>
      <c r="BK119" s="628">
        <f t="shared" si="41"/>
        <v>0</v>
      </c>
    </row>
    <row r="120" spans="1:63">
      <c r="A120" s="196">
        <v>113</v>
      </c>
      <c r="B120" s="172" t="s">
        <v>1634</v>
      </c>
      <c r="C120" s="73" t="s">
        <v>1633</v>
      </c>
      <c r="D120" s="168"/>
      <c r="E120" s="170"/>
      <c r="F120" s="171"/>
      <c r="G120" s="181"/>
      <c r="H120" s="178"/>
      <c r="I120" s="170"/>
      <c r="J120" s="171"/>
      <c r="K120" s="202"/>
      <c r="L120" s="171">
        <v>0</v>
      </c>
      <c r="M120" s="197">
        <v>32456.47</v>
      </c>
      <c r="N120" s="171">
        <f t="shared" ref="N120:N151" si="49">+L120+M120</f>
        <v>32456.47</v>
      </c>
      <c r="O120" s="202">
        <v>28972.25</v>
      </c>
      <c r="P120" s="238">
        <v>3484.2200000000012</v>
      </c>
      <c r="Q120" s="197">
        <v>45847.979999999996</v>
      </c>
      <c r="R120" s="171">
        <f t="shared" ref="R120:R151" si="50">+P120+Q120</f>
        <v>49332.2</v>
      </c>
      <c r="S120" s="202">
        <v>32999.480000000003</v>
      </c>
      <c r="T120" s="238">
        <v>16332.719999999994</v>
      </c>
      <c r="U120" s="238">
        <v>39797.53</v>
      </c>
      <c r="V120" s="171">
        <f t="shared" ref="V120:V151" si="51">+T120+U120</f>
        <v>56130.249999999993</v>
      </c>
      <c r="W120" s="56">
        <v>33697.629999999997</v>
      </c>
      <c r="X120" s="568">
        <f t="shared" si="32"/>
        <v>22432.619999999995</v>
      </c>
      <c r="Y120" s="569">
        <v>35817.81</v>
      </c>
      <c r="Z120" s="171">
        <f t="shared" ref="Z120:Z151" si="52">+X120+Y120</f>
        <v>58250.429999999993</v>
      </c>
      <c r="AA120" s="48">
        <v>41917.89</v>
      </c>
      <c r="AB120" s="238">
        <f t="shared" si="34"/>
        <v>16332.539999999994</v>
      </c>
      <c r="AC120" s="238">
        <v>38923.140000000007</v>
      </c>
      <c r="AD120" s="171">
        <f t="shared" ref="AD120:AD151" si="53">+AB120+AC120</f>
        <v>55255.68</v>
      </c>
      <c r="AE120" s="238"/>
      <c r="AF120" s="238">
        <f t="shared" si="36"/>
        <v>0</v>
      </c>
      <c r="AG120" s="474">
        <v>113</v>
      </c>
      <c r="AH120" s="172" t="s">
        <v>1634</v>
      </c>
      <c r="AI120" s="73" t="s">
        <v>1633</v>
      </c>
      <c r="AJ120" s="238">
        <f t="shared" si="37"/>
        <v>0</v>
      </c>
      <c r="AK120" s="238"/>
      <c r="AL120" s="358" t="s">
        <v>1634</v>
      </c>
      <c r="AM120" s="48">
        <v>41917.89</v>
      </c>
      <c r="AN120" s="238" t="s">
        <v>1634</v>
      </c>
      <c r="AO120" s="238">
        <v>38923.140000000007</v>
      </c>
      <c r="AQ120" s="472">
        <f t="shared" si="38"/>
        <v>0</v>
      </c>
      <c r="AS120" t="s">
        <v>1634</v>
      </c>
      <c r="AT120" t="s">
        <v>1965</v>
      </c>
      <c r="AU120" s="48">
        <v>30239.52</v>
      </c>
      <c r="AV120" s="48">
        <v>0</v>
      </c>
      <c r="AW120" s="48">
        <v>0</v>
      </c>
      <c r="AX120" s="48">
        <v>0</v>
      </c>
      <c r="AY120" s="48">
        <v>5161.17</v>
      </c>
      <c r="AZ120" s="48">
        <v>1562.66</v>
      </c>
      <c r="BA120" s="48">
        <v>1143.06</v>
      </c>
      <c r="BB120" s="48">
        <v>687.23</v>
      </c>
      <c r="BC120" s="48">
        <v>129.5</v>
      </c>
      <c r="BD120" s="48">
        <v>0</v>
      </c>
      <c r="BE120" s="48"/>
      <c r="BF120" s="48">
        <f t="shared" si="26"/>
        <v>38923.140000000007</v>
      </c>
      <c r="BG120" s="48"/>
      <c r="BH120" s="48"/>
      <c r="BI120" s="48" t="str">
        <f t="shared" si="39"/>
        <v>27902</v>
      </c>
      <c r="BJ120" s="48">
        <f t="shared" si="40"/>
        <v>38923.140000000007</v>
      </c>
      <c r="BK120" s="628">
        <f t="shared" si="41"/>
        <v>0</v>
      </c>
    </row>
    <row r="121" spans="1:63">
      <c r="A121" s="196">
        <v>114</v>
      </c>
      <c r="B121" s="172" t="s">
        <v>1509</v>
      </c>
      <c r="C121" s="73" t="s">
        <v>1589</v>
      </c>
      <c r="D121" s="168">
        <v>8074.01</v>
      </c>
      <c r="E121" s="170">
        <v>24853.040000000001</v>
      </c>
      <c r="F121" s="171">
        <f t="shared" ref="F121:F152" si="54">+D121+E121</f>
        <v>32927.050000000003</v>
      </c>
      <c r="G121" s="181"/>
      <c r="H121" s="179">
        <v>32927.050000000003</v>
      </c>
      <c r="I121" s="170">
        <v>56523.880000000005</v>
      </c>
      <c r="J121" s="171">
        <f t="shared" ref="J121:J152" si="55">+H121+I121</f>
        <v>89450.930000000008</v>
      </c>
      <c r="K121" s="202">
        <v>18167.03</v>
      </c>
      <c r="L121" s="171">
        <v>71283.900000000009</v>
      </c>
      <c r="M121" s="197">
        <v>76852.579999999987</v>
      </c>
      <c r="N121" s="171">
        <f t="shared" si="49"/>
        <v>148136.47999999998</v>
      </c>
      <c r="O121" s="202">
        <v>48203.12</v>
      </c>
      <c r="P121" s="238">
        <v>99933.359999999986</v>
      </c>
      <c r="Q121" s="197">
        <v>84652.2</v>
      </c>
      <c r="R121" s="171">
        <f t="shared" si="50"/>
        <v>184585.56</v>
      </c>
      <c r="S121" s="202">
        <v>51833.94</v>
      </c>
      <c r="T121" s="238">
        <v>132751.62</v>
      </c>
      <c r="U121" s="238">
        <v>72810.13</v>
      </c>
      <c r="V121" s="171">
        <f t="shared" si="51"/>
        <v>205561.75</v>
      </c>
      <c r="W121" s="56">
        <v>72413.58</v>
      </c>
      <c r="X121" s="568">
        <f t="shared" si="32"/>
        <v>133148.16999999998</v>
      </c>
      <c r="Y121" s="569">
        <v>80173.52</v>
      </c>
      <c r="Z121" s="171">
        <f t="shared" si="52"/>
        <v>213321.69</v>
      </c>
      <c r="AA121" s="48">
        <v>111860.99999999999</v>
      </c>
      <c r="AB121" s="238">
        <f t="shared" si="34"/>
        <v>101460.69000000002</v>
      </c>
      <c r="AC121" s="238">
        <v>83236.509999999995</v>
      </c>
      <c r="AD121" s="171">
        <f t="shared" si="53"/>
        <v>184697.2</v>
      </c>
      <c r="AE121" s="238"/>
      <c r="AF121" s="238">
        <f t="shared" si="36"/>
        <v>0</v>
      </c>
      <c r="AG121" s="474">
        <v>114</v>
      </c>
      <c r="AH121" s="172" t="s">
        <v>1509</v>
      </c>
      <c r="AI121" s="73" t="s">
        <v>1589</v>
      </c>
      <c r="AJ121" s="238">
        <f t="shared" si="37"/>
        <v>0</v>
      </c>
      <c r="AK121" s="238"/>
      <c r="AL121" s="358" t="s">
        <v>1509</v>
      </c>
      <c r="AM121" s="48">
        <v>111860.99999999999</v>
      </c>
      <c r="AN121" s="238" t="s">
        <v>1509</v>
      </c>
      <c r="AO121" s="238">
        <v>83236.509999999995</v>
      </c>
      <c r="AQ121" s="472">
        <f t="shared" si="38"/>
        <v>0</v>
      </c>
      <c r="AS121" t="s">
        <v>1509</v>
      </c>
      <c r="AT121" t="s">
        <v>2673</v>
      </c>
      <c r="AU121" s="48">
        <v>63864.52</v>
      </c>
      <c r="AV121" s="48">
        <v>0</v>
      </c>
      <c r="AW121" s="48">
        <v>0</v>
      </c>
      <c r="AX121" s="48">
        <v>0</v>
      </c>
      <c r="AY121" s="48">
        <v>8225.82</v>
      </c>
      <c r="AZ121" s="48">
        <v>3816.66</v>
      </c>
      <c r="BA121" s="48">
        <v>2634.19</v>
      </c>
      <c r="BB121" s="48">
        <v>4422.45</v>
      </c>
      <c r="BC121" s="48">
        <v>272.87</v>
      </c>
      <c r="BD121" s="48">
        <v>0</v>
      </c>
      <c r="BE121" s="48"/>
      <c r="BF121" s="48">
        <f t="shared" si="26"/>
        <v>83236.509999999995</v>
      </c>
      <c r="BG121" s="48"/>
      <c r="BH121" s="48"/>
      <c r="BI121" s="48" t="str">
        <f t="shared" si="39"/>
        <v>17911</v>
      </c>
      <c r="BJ121" s="48">
        <f t="shared" si="40"/>
        <v>83236.509999999995</v>
      </c>
      <c r="BK121" s="628">
        <f t="shared" si="41"/>
        <v>0</v>
      </c>
    </row>
    <row r="122" spans="1:63">
      <c r="A122" s="196">
        <v>115</v>
      </c>
      <c r="B122" s="172" t="s">
        <v>1576</v>
      </c>
      <c r="C122" s="73" t="s">
        <v>1590</v>
      </c>
      <c r="D122" s="168"/>
      <c r="E122" s="170"/>
      <c r="F122" s="171">
        <f t="shared" si="54"/>
        <v>0</v>
      </c>
      <c r="G122" s="181"/>
      <c r="H122" s="179">
        <v>0</v>
      </c>
      <c r="I122" s="170">
        <v>15807.9</v>
      </c>
      <c r="J122" s="171">
        <f t="shared" si="55"/>
        <v>15807.9</v>
      </c>
      <c r="K122" s="202">
        <v>5499.26</v>
      </c>
      <c r="L122" s="171">
        <v>10308.64</v>
      </c>
      <c r="M122" s="197">
        <v>35401.279999999999</v>
      </c>
      <c r="N122" s="171">
        <f t="shared" si="49"/>
        <v>45709.919999999998</v>
      </c>
      <c r="O122" s="202">
        <v>27028.22</v>
      </c>
      <c r="P122" s="238">
        <v>18681.699999999997</v>
      </c>
      <c r="Q122" s="197">
        <v>48226.229999999996</v>
      </c>
      <c r="R122" s="171">
        <f t="shared" si="50"/>
        <v>66907.929999999993</v>
      </c>
      <c r="S122" s="202">
        <v>28515.58</v>
      </c>
      <c r="T122" s="238">
        <v>38392.349999999991</v>
      </c>
      <c r="U122" s="238">
        <v>46742.939999999995</v>
      </c>
      <c r="V122" s="171">
        <f t="shared" si="51"/>
        <v>85135.289999999979</v>
      </c>
      <c r="W122" s="56">
        <v>53843.340000000004</v>
      </c>
      <c r="X122" s="568">
        <f t="shared" si="32"/>
        <v>31291.949999999975</v>
      </c>
      <c r="Y122" s="569">
        <v>59067.93</v>
      </c>
      <c r="Z122" s="171">
        <f t="shared" si="52"/>
        <v>90359.879999999976</v>
      </c>
      <c r="AA122" s="48">
        <v>89193.010000000009</v>
      </c>
      <c r="AB122" s="238">
        <f t="shared" si="34"/>
        <v>1166.8699999999662</v>
      </c>
      <c r="AC122" s="238">
        <v>65922.86</v>
      </c>
      <c r="AD122" s="171">
        <f t="shared" si="53"/>
        <v>67089.729999999967</v>
      </c>
      <c r="AE122" s="238"/>
      <c r="AF122" s="238">
        <f t="shared" si="36"/>
        <v>0</v>
      </c>
      <c r="AG122" s="474">
        <v>115</v>
      </c>
      <c r="AH122" s="172" t="s">
        <v>1576</v>
      </c>
      <c r="AI122" s="73" t="s">
        <v>1590</v>
      </c>
      <c r="AJ122" s="238">
        <f t="shared" si="37"/>
        <v>0</v>
      </c>
      <c r="AK122" s="238"/>
      <c r="AL122" s="358" t="s">
        <v>1576</v>
      </c>
      <c r="AM122" s="48">
        <v>89193.010000000009</v>
      </c>
      <c r="AN122" s="238" t="s">
        <v>1576</v>
      </c>
      <c r="AO122" s="238">
        <v>65922.86</v>
      </c>
      <c r="AQ122" s="472">
        <f t="shared" si="38"/>
        <v>0</v>
      </c>
      <c r="AS122" t="s">
        <v>1576</v>
      </c>
      <c r="AT122" t="s">
        <v>1963</v>
      </c>
      <c r="AU122" s="48">
        <v>53364.15</v>
      </c>
      <c r="AV122" s="48">
        <v>0</v>
      </c>
      <c r="AW122" s="48">
        <v>0</v>
      </c>
      <c r="AX122" s="48">
        <v>0</v>
      </c>
      <c r="AY122" s="48">
        <v>4970.8500000000004</v>
      </c>
      <c r="AZ122" s="48">
        <v>2797.92</v>
      </c>
      <c r="BA122" s="48">
        <v>2050.23</v>
      </c>
      <c r="BB122" s="48">
        <v>2512.31</v>
      </c>
      <c r="BC122" s="48">
        <v>227.4</v>
      </c>
      <c r="BD122" s="48">
        <v>0</v>
      </c>
      <c r="BE122" s="48"/>
      <c r="BF122" s="48">
        <f t="shared" si="26"/>
        <v>65922.86</v>
      </c>
      <c r="BG122" s="48"/>
      <c r="BH122" s="48"/>
      <c r="BI122" s="48" t="str">
        <f t="shared" si="39"/>
        <v>17916</v>
      </c>
      <c r="BJ122" s="48">
        <f t="shared" si="40"/>
        <v>65922.86</v>
      </c>
      <c r="BK122" s="628">
        <f t="shared" si="41"/>
        <v>0</v>
      </c>
    </row>
    <row r="123" spans="1:63">
      <c r="A123" s="196">
        <v>116</v>
      </c>
      <c r="B123" s="73" t="s">
        <v>263</v>
      </c>
      <c r="C123" s="139" t="s">
        <v>264</v>
      </c>
      <c r="D123" s="168">
        <v>986.35000000000036</v>
      </c>
      <c r="E123" s="170">
        <v>18685.43</v>
      </c>
      <c r="F123" s="171">
        <f t="shared" si="54"/>
        <v>19671.78</v>
      </c>
      <c r="G123" s="181">
        <v>23522.12</v>
      </c>
      <c r="H123" s="178">
        <v>0</v>
      </c>
      <c r="I123" s="170">
        <v>28277.91</v>
      </c>
      <c r="J123" s="171">
        <f t="shared" si="55"/>
        <v>28277.91</v>
      </c>
      <c r="K123" s="202">
        <v>34808.25</v>
      </c>
      <c r="L123" s="171">
        <v>0</v>
      </c>
      <c r="M123" s="197">
        <v>29681.25</v>
      </c>
      <c r="N123" s="171">
        <f t="shared" si="49"/>
        <v>29681.25</v>
      </c>
      <c r="O123" s="202">
        <v>16687.509999999998</v>
      </c>
      <c r="P123" s="238">
        <v>12993.740000000002</v>
      </c>
      <c r="Q123" s="197">
        <v>30549.58</v>
      </c>
      <c r="R123" s="171">
        <f t="shared" si="50"/>
        <v>43543.320000000007</v>
      </c>
      <c r="S123" s="202">
        <v>27837.18</v>
      </c>
      <c r="T123" s="238">
        <v>15706.140000000007</v>
      </c>
      <c r="U123" s="238">
        <v>29507.91</v>
      </c>
      <c r="V123" s="171">
        <f t="shared" si="51"/>
        <v>45214.05</v>
      </c>
      <c r="W123" s="56">
        <v>61301.98</v>
      </c>
      <c r="X123" s="568">
        <f t="shared" si="32"/>
        <v>0</v>
      </c>
      <c r="Y123" s="569">
        <v>30048.100000000002</v>
      </c>
      <c r="Z123" s="171">
        <f t="shared" si="52"/>
        <v>30048.100000000002</v>
      </c>
      <c r="AA123" s="48">
        <v>44741.950000000012</v>
      </c>
      <c r="AB123" s="238">
        <f t="shared" si="34"/>
        <v>0</v>
      </c>
      <c r="AC123" s="238">
        <v>30414.49</v>
      </c>
      <c r="AD123" s="171">
        <f t="shared" si="53"/>
        <v>30414.49</v>
      </c>
      <c r="AE123" s="238"/>
      <c r="AF123" s="238">
        <f t="shared" si="36"/>
        <v>0</v>
      </c>
      <c r="AG123" s="196">
        <v>116</v>
      </c>
      <c r="AH123" s="73" t="s">
        <v>263</v>
      </c>
      <c r="AI123" s="139" t="s">
        <v>264</v>
      </c>
      <c r="AJ123" s="238">
        <f t="shared" si="37"/>
        <v>0</v>
      </c>
      <c r="AK123" s="238"/>
      <c r="AL123" s="358" t="s">
        <v>263</v>
      </c>
      <c r="AM123" s="48">
        <v>44741.950000000012</v>
      </c>
      <c r="AN123" s="238" t="s">
        <v>263</v>
      </c>
      <c r="AO123" s="238">
        <v>30414.49</v>
      </c>
      <c r="AQ123" s="472">
        <f t="shared" si="38"/>
        <v>0</v>
      </c>
      <c r="AS123" t="s">
        <v>263</v>
      </c>
      <c r="AT123" t="s">
        <v>1711</v>
      </c>
      <c r="AU123" s="48">
        <v>24966.080000000002</v>
      </c>
      <c r="AV123" s="48">
        <v>363.84</v>
      </c>
      <c r="AW123" s="48">
        <v>50.88</v>
      </c>
      <c r="AX123" s="48">
        <v>0</v>
      </c>
      <c r="AY123" s="48">
        <v>2670.28</v>
      </c>
      <c r="AZ123" s="48">
        <v>1518.57</v>
      </c>
      <c r="BA123" s="48">
        <v>844.84</v>
      </c>
      <c r="BB123" s="48">
        <v>0</v>
      </c>
      <c r="BC123" s="48">
        <v>0</v>
      </c>
      <c r="BD123" s="48">
        <v>0</v>
      </c>
      <c r="BE123" s="48"/>
      <c r="BF123" s="48">
        <f t="shared" si="26"/>
        <v>30414.49</v>
      </c>
      <c r="BG123" s="48"/>
      <c r="BH123" s="48"/>
      <c r="BI123" s="48" t="str">
        <f t="shared" si="39"/>
        <v>10070</v>
      </c>
      <c r="BJ123" s="48">
        <f t="shared" si="40"/>
        <v>30414.49</v>
      </c>
      <c r="BK123" s="628">
        <f t="shared" si="41"/>
        <v>0</v>
      </c>
    </row>
    <row r="124" spans="1:63">
      <c r="A124" s="196">
        <v>117</v>
      </c>
      <c r="B124" s="73" t="s">
        <v>576</v>
      </c>
      <c r="C124" s="139" t="s">
        <v>577</v>
      </c>
      <c r="D124" s="168">
        <v>167.45000000000005</v>
      </c>
      <c r="E124" s="170">
        <v>4084.3900000000003</v>
      </c>
      <c r="F124" s="171">
        <f t="shared" si="54"/>
        <v>4251.84</v>
      </c>
      <c r="G124" s="181">
        <v>3927.77</v>
      </c>
      <c r="H124" s="178">
        <v>324.07000000000016</v>
      </c>
      <c r="I124" s="170">
        <v>6026.2199999999993</v>
      </c>
      <c r="J124" s="171">
        <f t="shared" si="55"/>
        <v>6350.2899999999991</v>
      </c>
      <c r="K124" s="202">
        <v>6350.29</v>
      </c>
      <c r="L124" s="171">
        <v>0</v>
      </c>
      <c r="M124" s="197">
        <v>6118.5700000000006</v>
      </c>
      <c r="N124" s="171">
        <f t="shared" si="49"/>
        <v>6118.5700000000006</v>
      </c>
      <c r="O124" s="202">
        <v>6118.57</v>
      </c>
      <c r="P124" s="238">
        <v>9.0949470177292824E-13</v>
      </c>
      <c r="Q124" s="197">
        <v>5499.09</v>
      </c>
      <c r="R124" s="171">
        <f t="shared" si="50"/>
        <v>5499.0900000000011</v>
      </c>
      <c r="S124" s="202">
        <v>5499.09</v>
      </c>
      <c r="T124" s="238">
        <v>9.0949470177292824E-13</v>
      </c>
      <c r="U124" s="238">
        <v>6777.36</v>
      </c>
      <c r="V124" s="171">
        <f t="shared" si="51"/>
        <v>6777.3600000000006</v>
      </c>
      <c r="W124" s="56">
        <v>6777.3600000000006</v>
      </c>
      <c r="X124" s="568">
        <f t="shared" si="32"/>
        <v>0</v>
      </c>
      <c r="Y124" s="569">
        <v>7524.0400000000009</v>
      </c>
      <c r="Z124" s="171">
        <f t="shared" si="52"/>
        <v>7524.0400000000009</v>
      </c>
      <c r="AA124" s="48">
        <v>4982.5400000000009</v>
      </c>
      <c r="AB124" s="238">
        <f t="shared" si="34"/>
        <v>2541.5</v>
      </c>
      <c r="AC124" s="238">
        <v>6874.7300000000005</v>
      </c>
      <c r="AD124" s="171">
        <f t="shared" si="53"/>
        <v>9416.23</v>
      </c>
      <c r="AE124" s="238"/>
      <c r="AF124" s="238">
        <f t="shared" si="36"/>
        <v>0</v>
      </c>
      <c r="AG124" s="196">
        <v>117</v>
      </c>
      <c r="AH124" s="73" t="s">
        <v>576</v>
      </c>
      <c r="AI124" s="139" t="s">
        <v>577</v>
      </c>
      <c r="AJ124" s="238">
        <f t="shared" si="37"/>
        <v>0</v>
      </c>
      <c r="AK124" s="238"/>
      <c r="AL124" s="358" t="s">
        <v>576</v>
      </c>
      <c r="AM124" s="48">
        <v>4982.5400000000009</v>
      </c>
      <c r="AN124" s="238" t="s">
        <v>576</v>
      </c>
      <c r="AO124" s="238">
        <v>6874.7300000000005</v>
      </c>
      <c r="AQ124" s="472">
        <f t="shared" si="38"/>
        <v>0</v>
      </c>
      <c r="AS124" t="s">
        <v>576</v>
      </c>
      <c r="AT124" t="s">
        <v>1870</v>
      </c>
      <c r="AU124" s="48">
        <v>6694.63</v>
      </c>
      <c r="AV124" s="48">
        <v>0</v>
      </c>
      <c r="AW124" s="48">
        <v>0</v>
      </c>
      <c r="AX124" s="48">
        <v>0</v>
      </c>
      <c r="AY124" s="48">
        <v>0</v>
      </c>
      <c r="AZ124" s="48">
        <v>180.1</v>
      </c>
      <c r="BA124" s="48">
        <v>0</v>
      </c>
      <c r="BB124" s="48">
        <v>0</v>
      </c>
      <c r="BC124" s="48">
        <v>0</v>
      </c>
      <c r="BD124" s="48">
        <v>0</v>
      </c>
      <c r="BE124" s="48"/>
      <c r="BF124" s="48">
        <f t="shared" si="26"/>
        <v>6874.7300000000005</v>
      </c>
      <c r="BG124" s="48"/>
      <c r="BH124" s="48"/>
      <c r="BI124" s="48" t="str">
        <f t="shared" si="39"/>
        <v>31063</v>
      </c>
      <c r="BJ124" s="48">
        <f t="shared" si="40"/>
        <v>6874.7300000000005</v>
      </c>
      <c r="BK124" s="628">
        <f t="shared" si="41"/>
        <v>0</v>
      </c>
    </row>
    <row r="125" spans="1:63">
      <c r="A125" s="196">
        <v>118</v>
      </c>
      <c r="B125" s="73" t="s">
        <v>1378</v>
      </c>
      <c r="C125" s="600" t="s">
        <v>2626</v>
      </c>
      <c r="D125" s="168">
        <v>14833.269999999999</v>
      </c>
      <c r="E125" s="170">
        <v>30213.98</v>
      </c>
      <c r="F125" s="171">
        <f t="shared" si="54"/>
        <v>45047.25</v>
      </c>
      <c r="G125" s="181">
        <v>9909</v>
      </c>
      <c r="H125" s="179">
        <v>35138.25</v>
      </c>
      <c r="I125" s="170">
        <v>58389.119999999995</v>
      </c>
      <c r="J125" s="171">
        <f t="shared" si="55"/>
        <v>93527.37</v>
      </c>
      <c r="K125" s="202"/>
      <c r="L125" s="171">
        <v>93527.37</v>
      </c>
      <c r="M125" s="197">
        <v>53993.960000000006</v>
      </c>
      <c r="N125" s="171">
        <f t="shared" si="49"/>
        <v>147521.33000000002</v>
      </c>
      <c r="O125" s="202">
        <v>28534.46</v>
      </c>
      <c r="P125" s="238">
        <v>118986.87000000002</v>
      </c>
      <c r="Q125" s="197">
        <v>48237.760000000009</v>
      </c>
      <c r="R125" s="171">
        <f t="shared" si="50"/>
        <v>167224.63000000003</v>
      </c>
      <c r="S125" s="202">
        <v>19544.419999999998</v>
      </c>
      <c r="T125" s="238">
        <v>147680.21000000002</v>
      </c>
      <c r="U125" s="238">
        <v>42040.88</v>
      </c>
      <c r="V125" s="171">
        <f t="shared" si="51"/>
        <v>189721.09000000003</v>
      </c>
      <c r="W125" s="56">
        <v>56716.78</v>
      </c>
      <c r="X125" s="568">
        <f t="shared" si="32"/>
        <v>133004.31000000003</v>
      </c>
      <c r="Y125" s="569">
        <v>26394.600000000006</v>
      </c>
      <c r="Z125" s="171">
        <f t="shared" si="52"/>
        <v>159398.91000000003</v>
      </c>
      <c r="AA125" s="48">
        <v>72193.259999999995</v>
      </c>
      <c r="AB125" s="238">
        <f t="shared" si="34"/>
        <v>87205.650000000038</v>
      </c>
      <c r="AC125" s="238">
        <v>21774.65</v>
      </c>
      <c r="AD125" s="171">
        <f t="shared" si="53"/>
        <v>108980.30000000005</v>
      </c>
      <c r="AE125" s="238"/>
      <c r="AF125" s="238">
        <f t="shared" si="36"/>
        <v>0</v>
      </c>
      <c r="AG125" s="196">
        <v>217</v>
      </c>
      <c r="AH125" s="73" t="s">
        <v>1378</v>
      </c>
      <c r="AI125" s="600" t="s">
        <v>2626</v>
      </c>
      <c r="AJ125" s="238">
        <f t="shared" si="37"/>
        <v>0</v>
      </c>
      <c r="AK125" s="238"/>
      <c r="AL125" s="358" t="s">
        <v>1378</v>
      </c>
      <c r="AM125" s="48">
        <v>72193.259999999995</v>
      </c>
      <c r="AN125" s="238" t="s">
        <v>1378</v>
      </c>
      <c r="AO125" s="238">
        <v>21774.65</v>
      </c>
      <c r="AQ125" s="472">
        <f t="shared" si="38"/>
        <v>0</v>
      </c>
      <c r="AS125" t="s">
        <v>1378</v>
      </c>
      <c r="AT125" t="s">
        <v>2675</v>
      </c>
      <c r="AU125" s="48">
        <v>14459.49</v>
      </c>
      <c r="AV125" s="48">
        <v>1950.23</v>
      </c>
      <c r="AW125" s="48">
        <v>0</v>
      </c>
      <c r="AX125" s="48">
        <v>0</v>
      </c>
      <c r="AY125" s="48">
        <v>3390.02</v>
      </c>
      <c r="AZ125" s="48">
        <v>858.72</v>
      </c>
      <c r="BA125" s="48">
        <v>1040.6400000000001</v>
      </c>
      <c r="BB125" s="48">
        <v>0</v>
      </c>
      <c r="BC125" s="48">
        <v>75.55</v>
      </c>
      <c r="BD125" s="48">
        <v>0</v>
      </c>
      <c r="BE125" s="48"/>
      <c r="BF125" s="48">
        <f t="shared" si="26"/>
        <v>21774.65</v>
      </c>
      <c r="BG125" s="48"/>
      <c r="BH125" s="48"/>
      <c r="BI125" s="48" t="str">
        <f t="shared" si="39"/>
        <v>32907</v>
      </c>
      <c r="BJ125" s="48">
        <f t="shared" si="40"/>
        <v>21774.65</v>
      </c>
      <c r="BK125" s="628">
        <f t="shared" si="41"/>
        <v>0</v>
      </c>
    </row>
    <row r="126" spans="1:63">
      <c r="A126" s="196">
        <v>119</v>
      </c>
      <c r="B126" s="73" t="s">
        <v>364</v>
      </c>
      <c r="C126" s="139" t="s">
        <v>365</v>
      </c>
      <c r="D126" s="168">
        <v>49273.380000000005</v>
      </c>
      <c r="E126" s="170">
        <v>1362594.86</v>
      </c>
      <c r="F126" s="171">
        <f t="shared" si="54"/>
        <v>1411868.2400000002</v>
      </c>
      <c r="G126" s="181">
        <v>1242253.6399999999</v>
      </c>
      <c r="H126" s="178">
        <v>169614.60000000033</v>
      </c>
      <c r="I126" s="170">
        <v>1918688.67</v>
      </c>
      <c r="J126" s="171">
        <f t="shared" si="55"/>
        <v>2088303.2700000003</v>
      </c>
      <c r="K126" s="202">
        <v>1805937.33</v>
      </c>
      <c r="L126" s="171">
        <v>282365.94000000018</v>
      </c>
      <c r="M126" s="197">
        <v>1895792.86</v>
      </c>
      <c r="N126" s="171">
        <f t="shared" si="49"/>
        <v>2178158.8000000003</v>
      </c>
      <c r="O126" s="202">
        <v>1754876.5199999996</v>
      </c>
      <c r="P126" s="238">
        <v>423282.28000000073</v>
      </c>
      <c r="Q126" s="197">
        <v>2064749.8000000003</v>
      </c>
      <c r="R126" s="171">
        <f t="shared" si="50"/>
        <v>2488032.080000001</v>
      </c>
      <c r="S126" s="202">
        <v>2095183.81</v>
      </c>
      <c r="T126" s="238">
        <v>392848.27000000095</v>
      </c>
      <c r="U126" s="238">
        <v>2082691.46</v>
      </c>
      <c r="V126" s="171">
        <f t="shared" si="51"/>
        <v>2475539.7300000009</v>
      </c>
      <c r="W126" s="56">
        <v>1939894.3399999996</v>
      </c>
      <c r="X126" s="568">
        <f t="shared" si="32"/>
        <v>535645.39000000129</v>
      </c>
      <c r="Y126" s="569">
        <v>2175168.2199999997</v>
      </c>
      <c r="Z126" s="171">
        <f t="shared" si="52"/>
        <v>2710813.6100000013</v>
      </c>
      <c r="AA126" s="48">
        <v>1723989.530000001</v>
      </c>
      <c r="AB126" s="238">
        <f t="shared" si="34"/>
        <v>986824.08000000031</v>
      </c>
      <c r="AC126" s="238">
        <v>2056537.59</v>
      </c>
      <c r="AD126" s="171">
        <f t="shared" si="53"/>
        <v>3043361.6700000004</v>
      </c>
      <c r="AE126" s="238"/>
      <c r="AF126" s="238">
        <f t="shared" si="36"/>
        <v>0</v>
      </c>
      <c r="AG126" s="196">
        <v>118</v>
      </c>
      <c r="AH126" s="73" t="s">
        <v>364</v>
      </c>
      <c r="AI126" s="139" t="s">
        <v>365</v>
      </c>
      <c r="AJ126" s="238">
        <f t="shared" si="37"/>
        <v>0</v>
      </c>
      <c r="AK126" s="238"/>
      <c r="AL126" s="358" t="s">
        <v>364</v>
      </c>
      <c r="AM126" s="48">
        <v>1723989.530000001</v>
      </c>
      <c r="AN126" s="238" t="s">
        <v>364</v>
      </c>
      <c r="AO126" s="238">
        <v>2056537.59</v>
      </c>
      <c r="AQ126" s="472">
        <f t="shared" si="38"/>
        <v>0</v>
      </c>
      <c r="AS126" t="s">
        <v>364</v>
      </c>
      <c r="AT126" t="s">
        <v>1763</v>
      </c>
      <c r="AU126" s="48">
        <v>1686817.61</v>
      </c>
      <c r="AV126" s="48">
        <v>98540.12</v>
      </c>
      <c r="AW126" s="48">
        <v>4844.51</v>
      </c>
      <c r="AX126" s="48">
        <v>0</v>
      </c>
      <c r="AY126" s="48">
        <v>173421.98</v>
      </c>
      <c r="AZ126" s="48">
        <v>30787.99</v>
      </c>
      <c r="BA126" s="48">
        <v>0</v>
      </c>
      <c r="BB126" s="48">
        <v>42820.12</v>
      </c>
      <c r="BC126" s="48">
        <v>9514.3700000000008</v>
      </c>
      <c r="BD126" s="48">
        <v>9790.89</v>
      </c>
      <c r="BE126" s="48"/>
      <c r="BF126" s="48">
        <f t="shared" si="26"/>
        <v>2056537.59</v>
      </c>
      <c r="BG126" s="48"/>
      <c r="BH126" s="48"/>
      <c r="BI126" s="48" t="str">
        <f t="shared" si="39"/>
        <v>17411</v>
      </c>
      <c r="BJ126" s="48">
        <f t="shared" si="40"/>
        <v>2056537.59</v>
      </c>
      <c r="BK126" s="628">
        <f t="shared" si="41"/>
        <v>0</v>
      </c>
    </row>
    <row r="127" spans="1:63">
      <c r="A127" s="196">
        <v>120</v>
      </c>
      <c r="B127" s="73" t="s">
        <v>273</v>
      </c>
      <c r="C127" s="139" t="s">
        <v>274</v>
      </c>
      <c r="D127" s="168">
        <v>0</v>
      </c>
      <c r="E127" s="170">
        <v>12338.36</v>
      </c>
      <c r="F127" s="171">
        <f t="shared" si="54"/>
        <v>12338.36</v>
      </c>
      <c r="G127" s="181">
        <v>12440.51</v>
      </c>
      <c r="H127" s="178">
        <v>0</v>
      </c>
      <c r="I127" s="170">
        <v>18812.93</v>
      </c>
      <c r="J127" s="171">
        <f t="shared" si="55"/>
        <v>18812.93</v>
      </c>
      <c r="K127" s="202">
        <v>18587.68</v>
      </c>
      <c r="L127" s="171">
        <v>225.25</v>
      </c>
      <c r="M127" s="197">
        <v>18744.759999999998</v>
      </c>
      <c r="N127" s="171">
        <f t="shared" si="49"/>
        <v>18970.009999999998</v>
      </c>
      <c r="O127" s="202">
        <v>13557.96</v>
      </c>
      <c r="P127" s="238">
        <v>5412.0499999999993</v>
      </c>
      <c r="Q127" s="197">
        <v>19860.97</v>
      </c>
      <c r="R127" s="171">
        <f t="shared" si="50"/>
        <v>25273.02</v>
      </c>
      <c r="S127" s="202">
        <v>25158.25</v>
      </c>
      <c r="T127" s="238">
        <v>114.77000000000044</v>
      </c>
      <c r="U127" s="238">
        <v>19348.5</v>
      </c>
      <c r="V127" s="171">
        <f t="shared" si="51"/>
        <v>19463.27</v>
      </c>
      <c r="W127" s="56"/>
      <c r="X127" s="568">
        <f t="shared" si="32"/>
        <v>19463.27</v>
      </c>
      <c r="Y127" s="569">
        <v>20241.47</v>
      </c>
      <c r="Z127" s="171">
        <f t="shared" si="52"/>
        <v>39704.740000000005</v>
      </c>
      <c r="AA127" s="48">
        <v>34193.4</v>
      </c>
      <c r="AB127" s="238">
        <f t="shared" si="34"/>
        <v>5511.3400000000038</v>
      </c>
      <c r="AC127" s="238">
        <v>20230.019999999997</v>
      </c>
      <c r="AD127" s="171">
        <f t="shared" si="53"/>
        <v>25741.360000000001</v>
      </c>
      <c r="AE127" s="238"/>
      <c r="AF127" s="238">
        <f t="shared" si="36"/>
        <v>0</v>
      </c>
      <c r="AG127" s="196">
        <v>119</v>
      </c>
      <c r="AH127" s="73" t="s">
        <v>273</v>
      </c>
      <c r="AI127" s="139" t="s">
        <v>274</v>
      </c>
      <c r="AJ127" s="238">
        <f t="shared" si="37"/>
        <v>0</v>
      </c>
      <c r="AK127" s="238"/>
      <c r="AL127" s="358" t="s">
        <v>273</v>
      </c>
      <c r="AM127" s="48">
        <v>34193.4</v>
      </c>
      <c r="AN127" s="238" t="s">
        <v>273</v>
      </c>
      <c r="AO127" s="238">
        <v>20230.019999999997</v>
      </c>
      <c r="AQ127" s="472">
        <f t="shared" si="38"/>
        <v>0</v>
      </c>
      <c r="AS127" t="s">
        <v>273</v>
      </c>
      <c r="AT127" t="s">
        <v>1716</v>
      </c>
      <c r="AU127" s="48">
        <v>19352.8</v>
      </c>
      <c r="AV127" s="48">
        <v>164.96</v>
      </c>
      <c r="AW127" s="48">
        <v>57.04</v>
      </c>
      <c r="AX127" s="48">
        <v>0</v>
      </c>
      <c r="AY127" s="48">
        <v>0</v>
      </c>
      <c r="AZ127" s="48">
        <v>391.59</v>
      </c>
      <c r="BA127" s="48">
        <v>246.67</v>
      </c>
      <c r="BB127" s="48">
        <v>0</v>
      </c>
      <c r="BC127" s="48">
        <v>16.96</v>
      </c>
      <c r="BD127" s="48">
        <v>0</v>
      </c>
      <c r="BE127" s="48"/>
      <c r="BF127" s="48">
        <f t="shared" si="26"/>
        <v>20230.019999999997</v>
      </c>
      <c r="BG127" s="48"/>
      <c r="BH127" s="48"/>
      <c r="BI127" s="48" t="str">
        <f t="shared" si="39"/>
        <v>11056</v>
      </c>
      <c r="BJ127" s="48">
        <f t="shared" si="40"/>
        <v>20230.019999999997</v>
      </c>
      <c r="BK127" s="628">
        <f t="shared" si="41"/>
        <v>0</v>
      </c>
    </row>
    <row r="128" spans="1:63">
      <c r="A128" s="196">
        <v>121</v>
      </c>
      <c r="B128" s="73" t="s">
        <v>239</v>
      </c>
      <c r="C128" s="139" t="s">
        <v>240</v>
      </c>
      <c r="D128" s="168">
        <v>0</v>
      </c>
      <c r="E128" s="170">
        <v>52375.3</v>
      </c>
      <c r="F128" s="171">
        <f t="shared" si="54"/>
        <v>52375.3</v>
      </c>
      <c r="G128" s="181"/>
      <c r="H128" s="178">
        <v>52375.3</v>
      </c>
      <c r="I128" s="170">
        <v>78196.350000000006</v>
      </c>
      <c r="J128" s="171">
        <f t="shared" si="55"/>
        <v>130571.65000000001</v>
      </c>
      <c r="K128" s="202"/>
      <c r="L128" s="171">
        <v>130571.65000000001</v>
      </c>
      <c r="M128" s="197">
        <v>78793.759999999995</v>
      </c>
      <c r="N128" s="171">
        <f t="shared" si="49"/>
        <v>209365.41</v>
      </c>
      <c r="O128" s="202">
        <v>97649.38</v>
      </c>
      <c r="P128" s="238">
        <v>111716.03</v>
      </c>
      <c r="Q128" s="197">
        <v>93551.75</v>
      </c>
      <c r="R128" s="171">
        <f t="shared" si="50"/>
        <v>205267.78</v>
      </c>
      <c r="S128" s="202">
        <v>84720.45</v>
      </c>
      <c r="T128" s="238">
        <v>120547.33</v>
      </c>
      <c r="U128" s="238">
        <v>90776.569999999992</v>
      </c>
      <c r="V128" s="171">
        <f t="shared" si="51"/>
        <v>211323.9</v>
      </c>
      <c r="W128" s="56">
        <v>111414.35</v>
      </c>
      <c r="X128" s="568">
        <f t="shared" si="32"/>
        <v>99909.549999999988</v>
      </c>
      <c r="Y128" s="569">
        <v>99820.88</v>
      </c>
      <c r="Z128" s="171">
        <f t="shared" si="52"/>
        <v>199730.43</v>
      </c>
      <c r="AA128" s="48">
        <v>111069.2</v>
      </c>
      <c r="AB128" s="238">
        <f t="shared" si="34"/>
        <v>88661.23</v>
      </c>
      <c r="AC128" s="238">
        <v>101894.73000000001</v>
      </c>
      <c r="AD128" s="171">
        <f t="shared" si="53"/>
        <v>190555.96000000002</v>
      </c>
      <c r="AE128" s="238"/>
      <c r="AF128" s="238">
        <f t="shared" si="36"/>
        <v>0</v>
      </c>
      <c r="AG128" s="196">
        <v>120</v>
      </c>
      <c r="AH128" s="73" t="s">
        <v>239</v>
      </c>
      <c r="AI128" s="139" t="s">
        <v>240</v>
      </c>
      <c r="AJ128" s="238">
        <f t="shared" si="37"/>
        <v>0</v>
      </c>
      <c r="AK128" s="238"/>
      <c r="AL128" s="358" t="s">
        <v>239</v>
      </c>
      <c r="AM128" s="48">
        <v>111069.2</v>
      </c>
      <c r="AN128" s="238" t="s">
        <v>239</v>
      </c>
      <c r="AO128" s="238">
        <v>101894.73000000001</v>
      </c>
      <c r="AQ128" s="472">
        <f t="shared" si="38"/>
        <v>0</v>
      </c>
      <c r="AS128" t="s">
        <v>239</v>
      </c>
      <c r="AT128" t="s">
        <v>1699</v>
      </c>
      <c r="AU128" s="48">
        <v>88821.23</v>
      </c>
      <c r="AV128" s="48">
        <v>3148.13</v>
      </c>
      <c r="AW128" s="48">
        <v>582.75</v>
      </c>
      <c r="AX128" s="48">
        <v>0</v>
      </c>
      <c r="AY128" s="48">
        <v>0</v>
      </c>
      <c r="AZ128" s="48">
        <v>4124.0200000000004</v>
      </c>
      <c r="BA128" s="48">
        <v>0</v>
      </c>
      <c r="BB128" s="48">
        <v>642.88</v>
      </c>
      <c r="BC128" s="48">
        <v>504.13</v>
      </c>
      <c r="BD128" s="48">
        <v>4071.59</v>
      </c>
      <c r="BE128" s="48"/>
      <c r="BF128" s="48">
        <f t="shared" si="26"/>
        <v>101894.73000000001</v>
      </c>
      <c r="BG128" s="48"/>
      <c r="BH128" s="48"/>
      <c r="BI128" s="48" t="str">
        <f t="shared" si="39"/>
        <v>08402</v>
      </c>
      <c r="BJ128" s="48">
        <f t="shared" si="40"/>
        <v>101894.73000000001</v>
      </c>
      <c r="BK128" s="628">
        <f t="shared" si="41"/>
        <v>0</v>
      </c>
    </row>
    <row r="129" spans="1:63">
      <c r="A129" s="196">
        <v>122</v>
      </c>
      <c r="B129" s="73" t="s">
        <v>257</v>
      </c>
      <c r="C129" s="139" t="s">
        <v>258</v>
      </c>
      <c r="D129" s="168">
        <v>116.76000000000022</v>
      </c>
      <c r="E129" s="170">
        <v>2997.93</v>
      </c>
      <c r="F129" s="171">
        <f t="shared" si="54"/>
        <v>3114.69</v>
      </c>
      <c r="G129" s="181"/>
      <c r="H129" s="178">
        <v>3114.69</v>
      </c>
      <c r="I129" s="170">
        <v>4421.53</v>
      </c>
      <c r="J129" s="171">
        <f t="shared" si="55"/>
        <v>7536.2199999999993</v>
      </c>
      <c r="K129" s="202">
        <v>6257.4</v>
      </c>
      <c r="L129" s="171">
        <v>1278.8199999999997</v>
      </c>
      <c r="M129" s="197">
        <v>4037.26</v>
      </c>
      <c r="N129" s="171">
        <f t="shared" si="49"/>
        <v>5316.08</v>
      </c>
      <c r="O129" s="202"/>
      <c r="P129" s="238">
        <v>5316.08</v>
      </c>
      <c r="Q129" s="197">
        <v>5134.91</v>
      </c>
      <c r="R129" s="171">
        <f t="shared" si="50"/>
        <v>10450.99</v>
      </c>
      <c r="S129" s="202">
        <v>0</v>
      </c>
      <c r="T129" s="238">
        <v>10450.99</v>
      </c>
      <c r="U129" s="238">
        <v>5119.9400000000005</v>
      </c>
      <c r="V129" s="171">
        <f t="shared" si="51"/>
        <v>15570.93</v>
      </c>
      <c r="W129" s="56">
        <v>7157.37</v>
      </c>
      <c r="X129" s="568">
        <f t="shared" si="32"/>
        <v>8413.5600000000013</v>
      </c>
      <c r="Y129" s="569">
        <v>5323.54</v>
      </c>
      <c r="Z129" s="171">
        <f t="shared" si="52"/>
        <v>13737.100000000002</v>
      </c>
      <c r="AA129" s="48">
        <v>813.44</v>
      </c>
      <c r="AB129" s="238">
        <f t="shared" si="34"/>
        <v>12923.660000000002</v>
      </c>
      <c r="AC129" s="238">
        <v>4458.1400000000003</v>
      </c>
      <c r="AD129" s="171">
        <f t="shared" si="53"/>
        <v>17381.800000000003</v>
      </c>
      <c r="AE129" s="238"/>
      <c r="AF129" s="238">
        <f t="shared" si="36"/>
        <v>0</v>
      </c>
      <c r="AG129" s="196">
        <v>121</v>
      </c>
      <c r="AH129" s="73" t="s">
        <v>257</v>
      </c>
      <c r="AI129" s="139" t="s">
        <v>258</v>
      </c>
      <c r="AJ129" s="238">
        <f t="shared" si="37"/>
        <v>0</v>
      </c>
      <c r="AK129" s="238"/>
      <c r="AL129" s="358" t="s">
        <v>257</v>
      </c>
      <c r="AM129" s="48">
        <v>813.44</v>
      </c>
      <c r="AN129" s="238" t="s">
        <v>257</v>
      </c>
      <c r="AO129" s="238">
        <v>4458.1400000000003</v>
      </c>
      <c r="AQ129" s="472">
        <f t="shared" si="38"/>
        <v>0</v>
      </c>
      <c r="AS129" t="s">
        <v>257</v>
      </c>
      <c r="AT129" t="s">
        <v>1708</v>
      </c>
      <c r="AU129" s="48">
        <v>3562.84</v>
      </c>
      <c r="AV129" s="48">
        <v>0</v>
      </c>
      <c r="AW129" s="48">
        <v>0</v>
      </c>
      <c r="AX129" s="48">
        <v>0</v>
      </c>
      <c r="AY129" s="48">
        <v>397.33</v>
      </c>
      <c r="AZ129" s="48">
        <v>320.67</v>
      </c>
      <c r="BA129" s="48">
        <v>169.59</v>
      </c>
      <c r="BB129" s="48">
        <v>0</v>
      </c>
      <c r="BC129" s="48">
        <v>7.71</v>
      </c>
      <c r="BD129" s="48">
        <v>0</v>
      </c>
      <c r="BE129" s="48"/>
      <c r="BF129" s="48">
        <f t="shared" si="26"/>
        <v>4458.1400000000003</v>
      </c>
      <c r="BG129" s="48"/>
      <c r="BH129" s="48"/>
      <c r="BI129" s="48" t="str">
        <f t="shared" si="39"/>
        <v>10003</v>
      </c>
      <c r="BJ129" s="48">
        <f t="shared" si="40"/>
        <v>4458.1400000000003</v>
      </c>
      <c r="BK129" s="628">
        <f t="shared" si="41"/>
        <v>0</v>
      </c>
    </row>
    <row r="130" spans="1:63">
      <c r="A130" s="196">
        <v>123</v>
      </c>
      <c r="B130" s="73" t="s">
        <v>243</v>
      </c>
      <c r="C130" s="139" t="s">
        <v>244</v>
      </c>
      <c r="D130" s="168">
        <v>0</v>
      </c>
      <c r="E130" s="170">
        <v>321784.86000000004</v>
      </c>
      <c r="F130" s="171">
        <f t="shared" si="54"/>
        <v>321784.86000000004</v>
      </c>
      <c r="G130" s="181">
        <v>236210.02</v>
      </c>
      <c r="H130" s="178">
        <v>85574.840000000055</v>
      </c>
      <c r="I130" s="170">
        <v>405813.58</v>
      </c>
      <c r="J130" s="171">
        <f t="shared" si="55"/>
        <v>491388.42000000004</v>
      </c>
      <c r="K130" s="202">
        <v>293925.09999999998</v>
      </c>
      <c r="L130" s="171">
        <v>197463.32000000007</v>
      </c>
      <c r="M130" s="197">
        <v>450674.72</v>
      </c>
      <c r="N130" s="171">
        <f t="shared" si="49"/>
        <v>648138.04</v>
      </c>
      <c r="O130" s="202">
        <v>303100.40000000002</v>
      </c>
      <c r="P130" s="238">
        <v>345037.64</v>
      </c>
      <c r="Q130" s="197">
        <v>511771.32999999996</v>
      </c>
      <c r="R130" s="171">
        <f t="shared" si="50"/>
        <v>856808.97</v>
      </c>
      <c r="S130" s="202">
        <v>1150363.71</v>
      </c>
      <c r="T130" s="238">
        <v>0</v>
      </c>
      <c r="U130" s="238">
        <v>520177.08999999997</v>
      </c>
      <c r="V130" s="171">
        <f t="shared" si="51"/>
        <v>520177.08999999997</v>
      </c>
      <c r="W130" s="56">
        <v>1133070.08</v>
      </c>
      <c r="X130" s="568">
        <f t="shared" si="32"/>
        <v>0</v>
      </c>
      <c r="Y130" s="569">
        <v>567006.38</v>
      </c>
      <c r="Z130" s="171">
        <f t="shared" si="52"/>
        <v>567006.38</v>
      </c>
      <c r="AA130" s="48">
        <v>651120.30999999971</v>
      </c>
      <c r="AB130" s="238">
        <f t="shared" si="34"/>
        <v>0</v>
      </c>
      <c r="AC130" s="238">
        <v>558949.40999999992</v>
      </c>
      <c r="AD130" s="171">
        <f t="shared" si="53"/>
        <v>558949.40999999992</v>
      </c>
      <c r="AE130" s="238"/>
      <c r="AF130" s="238">
        <f t="shared" si="36"/>
        <v>0</v>
      </c>
      <c r="AG130" s="196">
        <v>122</v>
      </c>
      <c r="AH130" s="73" t="s">
        <v>243</v>
      </c>
      <c r="AI130" s="139" t="s">
        <v>244</v>
      </c>
      <c r="AJ130" s="238">
        <f t="shared" si="37"/>
        <v>0</v>
      </c>
      <c r="AK130" s="238"/>
      <c r="AL130" s="358" t="s">
        <v>243</v>
      </c>
      <c r="AM130" s="48">
        <v>651120.30999999971</v>
      </c>
      <c r="AN130" s="238" t="s">
        <v>243</v>
      </c>
      <c r="AO130" s="238">
        <v>558949.40999999992</v>
      </c>
      <c r="AQ130" s="472">
        <f t="shared" si="38"/>
        <v>0</v>
      </c>
      <c r="AS130" t="s">
        <v>243</v>
      </c>
      <c r="AT130" t="s">
        <v>1701</v>
      </c>
      <c r="AU130" s="48">
        <v>360229.12</v>
      </c>
      <c r="AV130" s="48">
        <v>35201.35</v>
      </c>
      <c r="AW130" s="48">
        <v>7202.76</v>
      </c>
      <c r="AX130" s="48">
        <v>0</v>
      </c>
      <c r="AY130" s="48">
        <v>75914.11</v>
      </c>
      <c r="AZ130" s="48">
        <v>30324.99</v>
      </c>
      <c r="BA130" s="48">
        <v>21400.16</v>
      </c>
      <c r="BB130" s="48">
        <v>8550.2000000000007</v>
      </c>
      <c r="BC130" s="48">
        <v>2167.61</v>
      </c>
      <c r="BD130" s="48">
        <v>17959.11</v>
      </c>
      <c r="BE130" s="48"/>
      <c r="BF130" s="48">
        <f t="shared" si="26"/>
        <v>558949.40999999992</v>
      </c>
      <c r="BG130" s="48"/>
      <c r="BH130" s="48"/>
      <c r="BI130" s="48" t="str">
        <f t="shared" si="39"/>
        <v>08458</v>
      </c>
      <c r="BJ130" s="48">
        <f t="shared" si="40"/>
        <v>558949.40999999992</v>
      </c>
      <c r="BK130" s="628">
        <f t="shared" si="41"/>
        <v>0</v>
      </c>
    </row>
    <row r="131" spans="1:63">
      <c r="A131" s="196">
        <v>124</v>
      </c>
      <c r="B131" s="73" t="s">
        <v>177</v>
      </c>
      <c r="C131" s="139" t="s">
        <v>178</v>
      </c>
      <c r="D131" s="168">
        <v>0</v>
      </c>
      <c r="E131" s="170">
        <v>1199384.1200000001</v>
      </c>
      <c r="F131" s="171">
        <f t="shared" si="54"/>
        <v>1199384.1200000001</v>
      </c>
      <c r="G131" s="181">
        <v>1219363.01</v>
      </c>
      <c r="H131" s="178">
        <v>0</v>
      </c>
      <c r="I131" s="170">
        <v>1721624.32</v>
      </c>
      <c r="J131" s="171">
        <f t="shared" si="55"/>
        <v>1721624.32</v>
      </c>
      <c r="K131" s="202">
        <v>2173038.1300000004</v>
      </c>
      <c r="L131" s="171">
        <v>0</v>
      </c>
      <c r="M131" s="197">
        <v>1746296.17</v>
      </c>
      <c r="N131" s="171">
        <f t="shared" si="49"/>
        <v>1746296.17</v>
      </c>
      <c r="O131" s="202">
        <v>1792181.4600000002</v>
      </c>
      <c r="P131" s="238">
        <v>0</v>
      </c>
      <c r="Q131" s="197">
        <v>1937495.91</v>
      </c>
      <c r="R131" s="171">
        <f t="shared" si="50"/>
        <v>1937495.91</v>
      </c>
      <c r="S131" s="202">
        <v>1868357.1500000001</v>
      </c>
      <c r="T131" s="238">
        <v>69138.759999999776</v>
      </c>
      <c r="U131" s="238">
        <v>1992067.66</v>
      </c>
      <c r="V131" s="171">
        <f t="shared" si="51"/>
        <v>2061206.4199999997</v>
      </c>
      <c r="W131" s="56">
        <v>2001556.8600000003</v>
      </c>
      <c r="X131" s="568">
        <f t="shared" si="32"/>
        <v>59649.559999999357</v>
      </c>
      <c r="Y131" s="569">
        <v>2094837.5899999999</v>
      </c>
      <c r="Z131" s="171">
        <f t="shared" si="52"/>
        <v>2154487.1499999994</v>
      </c>
      <c r="AA131" s="48">
        <v>1856601.6799999969</v>
      </c>
      <c r="AB131" s="238">
        <f t="shared" si="34"/>
        <v>297885.47000000253</v>
      </c>
      <c r="AC131" s="238">
        <v>2065070.3900000006</v>
      </c>
      <c r="AD131" s="171">
        <f t="shared" si="53"/>
        <v>2362955.8600000031</v>
      </c>
      <c r="AE131" s="238"/>
      <c r="AF131" s="238">
        <f t="shared" si="36"/>
        <v>0</v>
      </c>
      <c r="AG131" s="196">
        <v>123</v>
      </c>
      <c r="AH131" s="73" t="s">
        <v>177</v>
      </c>
      <c r="AI131" s="139" t="s">
        <v>178</v>
      </c>
      <c r="AJ131" s="238">
        <f t="shared" si="37"/>
        <v>0</v>
      </c>
      <c r="AK131" s="238"/>
      <c r="AL131" s="358" t="s">
        <v>177</v>
      </c>
      <c r="AM131" s="48">
        <v>1856601.6799999969</v>
      </c>
      <c r="AN131" s="238" t="s">
        <v>177</v>
      </c>
      <c r="AO131" s="238">
        <v>2065070.3900000006</v>
      </c>
      <c r="AQ131" s="472">
        <f t="shared" si="38"/>
        <v>0</v>
      </c>
      <c r="AS131" t="s">
        <v>177</v>
      </c>
      <c r="AT131" t="s">
        <v>1666</v>
      </c>
      <c r="AU131" s="48">
        <v>1389644.59</v>
      </c>
      <c r="AV131" s="48">
        <v>78134.25</v>
      </c>
      <c r="AW131" s="48">
        <v>11985.07</v>
      </c>
      <c r="AX131" s="48">
        <v>67117.36</v>
      </c>
      <c r="AY131" s="48">
        <v>253755.84</v>
      </c>
      <c r="AZ131" s="48">
        <v>109211.59</v>
      </c>
      <c r="BA131" s="48">
        <v>58334.36</v>
      </c>
      <c r="BB131" s="48">
        <v>85236.800000000003</v>
      </c>
      <c r="BC131" s="48">
        <v>8212.57</v>
      </c>
      <c r="BD131" s="48">
        <v>3437.96</v>
      </c>
      <c r="BE131" s="48"/>
      <c r="BF131" s="48">
        <f t="shared" si="26"/>
        <v>2065070.3900000006</v>
      </c>
      <c r="BG131" s="48"/>
      <c r="BH131" s="48"/>
      <c r="BI131" s="48" t="str">
        <f t="shared" si="39"/>
        <v>03017</v>
      </c>
      <c r="BJ131" s="48">
        <f t="shared" si="40"/>
        <v>2065070.3900000006</v>
      </c>
      <c r="BK131" s="628">
        <f t="shared" si="41"/>
        <v>0</v>
      </c>
    </row>
    <row r="132" spans="1:63">
      <c r="A132" s="196">
        <v>125</v>
      </c>
      <c r="B132" s="73" t="s">
        <v>370</v>
      </c>
      <c r="C132" s="139" t="s">
        <v>371</v>
      </c>
      <c r="D132" s="168">
        <v>221338.32999999984</v>
      </c>
      <c r="E132" s="170">
        <v>1961263.98</v>
      </c>
      <c r="F132" s="171">
        <f t="shared" si="54"/>
        <v>2182602.3099999996</v>
      </c>
      <c r="G132" s="181">
        <v>1727220.26</v>
      </c>
      <c r="H132" s="178">
        <v>455382.04999999958</v>
      </c>
      <c r="I132" s="170">
        <v>2813234.2899999996</v>
      </c>
      <c r="J132" s="171">
        <f t="shared" si="55"/>
        <v>3268616.3399999989</v>
      </c>
      <c r="K132" s="202">
        <v>3110868.919999999</v>
      </c>
      <c r="L132" s="171">
        <v>157747.41999999993</v>
      </c>
      <c r="M132" s="197">
        <v>2790990.9</v>
      </c>
      <c r="N132" s="171">
        <f t="shared" si="49"/>
        <v>2948738.32</v>
      </c>
      <c r="O132" s="202">
        <v>3309766.86</v>
      </c>
      <c r="P132" s="238">
        <v>0</v>
      </c>
      <c r="Q132" s="197">
        <v>3079348.44</v>
      </c>
      <c r="R132" s="171">
        <f t="shared" si="50"/>
        <v>3079348.44</v>
      </c>
      <c r="S132" s="202">
        <v>3155399.1799999997</v>
      </c>
      <c r="T132" s="238">
        <v>0</v>
      </c>
      <c r="U132" s="238">
        <v>3188226.73</v>
      </c>
      <c r="V132" s="171">
        <f t="shared" si="51"/>
        <v>3188226.73</v>
      </c>
      <c r="W132" s="56">
        <v>2960438.2399999965</v>
      </c>
      <c r="X132" s="568">
        <f t="shared" si="32"/>
        <v>227788.49000000348</v>
      </c>
      <c r="Y132" s="569">
        <v>3398717.48</v>
      </c>
      <c r="Z132" s="171">
        <f t="shared" si="52"/>
        <v>3626505.9700000035</v>
      </c>
      <c r="AA132" s="48">
        <v>3197943.87</v>
      </c>
      <c r="AB132" s="238">
        <f t="shared" si="34"/>
        <v>428562.10000000335</v>
      </c>
      <c r="AC132" s="238">
        <v>3277360.77</v>
      </c>
      <c r="AD132" s="171">
        <f t="shared" si="53"/>
        <v>3705922.8700000034</v>
      </c>
      <c r="AE132" s="238"/>
      <c r="AF132" s="238">
        <f t="shared" si="36"/>
        <v>0</v>
      </c>
      <c r="AG132" s="196">
        <v>124</v>
      </c>
      <c r="AH132" s="73" t="s">
        <v>370</v>
      </c>
      <c r="AI132" s="139" t="s">
        <v>371</v>
      </c>
      <c r="AJ132" s="238">
        <f t="shared" si="37"/>
        <v>0</v>
      </c>
      <c r="AK132" s="238"/>
      <c r="AL132" s="358" t="s">
        <v>370</v>
      </c>
      <c r="AM132" s="48">
        <v>3197943.87</v>
      </c>
      <c r="AN132" s="238" t="s">
        <v>370</v>
      </c>
      <c r="AO132" s="238">
        <v>3277360.77</v>
      </c>
      <c r="AQ132" s="472">
        <f t="shared" si="38"/>
        <v>0</v>
      </c>
      <c r="AS132" t="s">
        <v>370</v>
      </c>
      <c r="AT132" t="s">
        <v>1766</v>
      </c>
      <c r="AU132" s="48">
        <v>2252627.86</v>
      </c>
      <c r="AV132" s="48">
        <v>170849.33</v>
      </c>
      <c r="AW132" s="48">
        <v>30544.22</v>
      </c>
      <c r="AX132" s="48">
        <v>0</v>
      </c>
      <c r="AY132" s="48">
        <v>349507.41</v>
      </c>
      <c r="AZ132" s="48">
        <v>165806.53</v>
      </c>
      <c r="BA132" s="48">
        <v>66213.100000000006</v>
      </c>
      <c r="BB132" s="48">
        <v>228810.57</v>
      </c>
      <c r="BC132" s="48">
        <v>13001.75</v>
      </c>
      <c r="BD132" s="48">
        <v>0</v>
      </c>
      <c r="BE132" s="48"/>
      <c r="BF132" s="48">
        <f t="shared" si="26"/>
        <v>3277360.77</v>
      </c>
      <c r="BG132" s="48"/>
      <c r="BH132" s="48"/>
      <c r="BI132" s="48" t="str">
        <f t="shared" si="39"/>
        <v>17415</v>
      </c>
      <c r="BJ132" s="48">
        <f t="shared" si="40"/>
        <v>3277360.77</v>
      </c>
      <c r="BK132" s="628">
        <f t="shared" si="41"/>
        <v>0</v>
      </c>
    </row>
    <row r="133" spans="1:63">
      <c r="A133" s="196">
        <v>126</v>
      </c>
      <c r="B133" s="73" t="s">
        <v>638</v>
      </c>
      <c r="C133" s="139" t="s">
        <v>639</v>
      </c>
      <c r="D133" s="168">
        <v>3763.9799999999959</v>
      </c>
      <c r="E133" s="170">
        <v>54061.7</v>
      </c>
      <c r="F133" s="171">
        <f t="shared" si="54"/>
        <v>57825.679999999993</v>
      </c>
      <c r="G133" s="181">
        <v>47991.51</v>
      </c>
      <c r="H133" s="178">
        <v>9834.169999999991</v>
      </c>
      <c r="I133" s="170">
        <v>77110.429999999993</v>
      </c>
      <c r="J133" s="171">
        <f t="shared" si="55"/>
        <v>86944.599999999977</v>
      </c>
      <c r="K133" s="202">
        <v>82242.01999999999</v>
      </c>
      <c r="L133" s="171">
        <v>4702.5799999999872</v>
      </c>
      <c r="M133" s="197">
        <v>76701.320000000007</v>
      </c>
      <c r="N133" s="171">
        <f t="shared" si="49"/>
        <v>81403.899999999994</v>
      </c>
      <c r="O133" s="202">
        <v>74829.34</v>
      </c>
      <c r="P133" s="238">
        <v>6574.5599999999977</v>
      </c>
      <c r="Q133" s="197">
        <v>88001.64</v>
      </c>
      <c r="R133" s="171">
        <f t="shared" si="50"/>
        <v>94576.2</v>
      </c>
      <c r="S133" s="202">
        <v>73319.049999999988</v>
      </c>
      <c r="T133" s="238">
        <v>21257.150000000009</v>
      </c>
      <c r="U133" s="238">
        <v>82637.209999999992</v>
      </c>
      <c r="V133" s="171">
        <f t="shared" si="51"/>
        <v>103894.36</v>
      </c>
      <c r="W133" s="56">
        <v>86056.300000000017</v>
      </c>
      <c r="X133" s="568">
        <f t="shared" si="32"/>
        <v>17838.059999999983</v>
      </c>
      <c r="Y133" s="569">
        <v>83093.23000000001</v>
      </c>
      <c r="Z133" s="171">
        <f t="shared" si="52"/>
        <v>100931.29</v>
      </c>
      <c r="AA133" s="48">
        <v>80931.73000000001</v>
      </c>
      <c r="AB133" s="238">
        <f t="shared" si="34"/>
        <v>19999.559999999983</v>
      </c>
      <c r="AC133" s="238">
        <v>79428.98000000001</v>
      </c>
      <c r="AD133" s="171">
        <f t="shared" si="53"/>
        <v>99428.54</v>
      </c>
      <c r="AE133" s="238"/>
      <c r="AF133" s="238">
        <f t="shared" si="36"/>
        <v>0</v>
      </c>
      <c r="AG133" s="196">
        <v>125</v>
      </c>
      <c r="AH133" s="73" t="s">
        <v>638</v>
      </c>
      <c r="AI133" s="139" t="s">
        <v>639</v>
      </c>
      <c r="AJ133" s="238">
        <f t="shared" si="37"/>
        <v>0</v>
      </c>
      <c r="AK133" s="238"/>
      <c r="AL133" s="358" t="s">
        <v>638</v>
      </c>
      <c r="AM133" s="48">
        <v>80931.73000000001</v>
      </c>
      <c r="AN133" s="238" t="s">
        <v>638</v>
      </c>
      <c r="AO133" s="238">
        <v>79428.98000000001</v>
      </c>
      <c r="AQ133" s="472">
        <f t="shared" si="38"/>
        <v>0</v>
      </c>
      <c r="AS133" t="s">
        <v>638</v>
      </c>
      <c r="AT133" t="s">
        <v>1903</v>
      </c>
      <c r="AU133" s="48">
        <v>48140.73</v>
      </c>
      <c r="AV133" s="48">
        <v>4771.53</v>
      </c>
      <c r="AW133" s="48">
        <v>0</v>
      </c>
      <c r="AX133" s="48">
        <v>0</v>
      </c>
      <c r="AY133" s="48">
        <v>15216.15</v>
      </c>
      <c r="AZ133" s="48">
        <v>5753.58</v>
      </c>
      <c r="BA133" s="48">
        <v>3047.91</v>
      </c>
      <c r="BB133" s="48">
        <v>0</v>
      </c>
      <c r="BC133" s="48">
        <v>473.3</v>
      </c>
      <c r="BD133" s="48">
        <v>2025.78</v>
      </c>
      <c r="BE133" s="48"/>
      <c r="BF133" s="48">
        <f t="shared" si="26"/>
        <v>79428.98000000001</v>
      </c>
      <c r="BG133" s="48"/>
      <c r="BH133" s="48"/>
      <c r="BI133" s="48" t="str">
        <f t="shared" si="39"/>
        <v>33212</v>
      </c>
      <c r="BJ133" s="48">
        <f t="shared" si="40"/>
        <v>79428.98000000001</v>
      </c>
      <c r="BK133" s="628">
        <f t="shared" si="41"/>
        <v>0</v>
      </c>
    </row>
    <row r="134" spans="1:63">
      <c r="A134" s="196">
        <v>127</v>
      </c>
      <c r="B134" s="73" t="s">
        <v>181</v>
      </c>
      <c r="C134" s="139" t="s">
        <v>182</v>
      </c>
      <c r="D134" s="168">
        <v>0</v>
      </c>
      <c r="E134" s="170">
        <v>93852.72</v>
      </c>
      <c r="F134" s="171">
        <f t="shared" si="54"/>
        <v>93852.72</v>
      </c>
      <c r="G134" s="181">
        <v>95288.44</v>
      </c>
      <c r="H134" s="178">
        <v>0</v>
      </c>
      <c r="I134" s="170">
        <v>137832.32000000001</v>
      </c>
      <c r="J134" s="171">
        <f t="shared" si="55"/>
        <v>137832.32000000001</v>
      </c>
      <c r="K134" s="202">
        <v>139040.27000000002</v>
      </c>
      <c r="L134" s="171">
        <v>0</v>
      </c>
      <c r="M134" s="197">
        <v>143557.91</v>
      </c>
      <c r="N134" s="171">
        <f t="shared" si="49"/>
        <v>143557.91</v>
      </c>
      <c r="O134" s="202">
        <v>150771</v>
      </c>
      <c r="P134" s="238">
        <v>0</v>
      </c>
      <c r="Q134" s="197">
        <v>150374.20000000001</v>
      </c>
      <c r="R134" s="171">
        <f t="shared" si="50"/>
        <v>150374.20000000001</v>
      </c>
      <c r="S134" s="202">
        <v>155006.56</v>
      </c>
      <c r="T134" s="238">
        <v>0</v>
      </c>
      <c r="U134" s="238">
        <v>159327.16</v>
      </c>
      <c r="V134" s="171">
        <f t="shared" si="51"/>
        <v>159327.16</v>
      </c>
      <c r="W134" s="56">
        <v>148158.71999999997</v>
      </c>
      <c r="X134" s="568">
        <f t="shared" si="32"/>
        <v>11168.440000000031</v>
      </c>
      <c r="Y134" s="569">
        <v>163092.13000000003</v>
      </c>
      <c r="Z134" s="171">
        <f t="shared" si="52"/>
        <v>174260.57000000007</v>
      </c>
      <c r="AA134" s="48">
        <v>151397.32999999999</v>
      </c>
      <c r="AB134" s="238">
        <f t="shared" si="34"/>
        <v>22863.240000000078</v>
      </c>
      <c r="AC134" s="238">
        <v>160092.49999999997</v>
      </c>
      <c r="AD134" s="171">
        <f t="shared" si="53"/>
        <v>182955.74000000005</v>
      </c>
      <c r="AE134" s="238"/>
      <c r="AF134" s="238">
        <f t="shared" si="36"/>
        <v>0</v>
      </c>
      <c r="AG134" s="196">
        <v>126</v>
      </c>
      <c r="AH134" s="73" t="s">
        <v>181</v>
      </c>
      <c r="AI134" s="139" t="s">
        <v>182</v>
      </c>
      <c r="AJ134" s="238">
        <f t="shared" si="37"/>
        <v>0</v>
      </c>
      <c r="AK134" s="238"/>
      <c r="AL134" s="358" t="s">
        <v>181</v>
      </c>
      <c r="AM134" s="48">
        <v>151397.32999999999</v>
      </c>
      <c r="AN134" s="238" t="s">
        <v>181</v>
      </c>
      <c r="AO134" s="238">
        <v>160092.49999999997</v>
      </c>
      <c r="AQ134" s="472">
        <f t="shared" si="38"/>
        <v>0</v>
      </c>
      <c r="AS134" t="s">
        <v>181</v>
      </c>
      <c r="AT134" t="s">
        <v>1668</v>
      </c>
      <c r="AU134" s="48">
        <v>102848.8</v>
      </c>
      <c r="AV134" s="48">
        <v>8302.17</v>
      </c>
      <c r="AW134" s="48">
        <v>1144.8</v>
      </c>
      <c r="AX134" s="48">
        <v>0</v>
      </c>
      <c r="AY134" s="48">
        <v>21152.18</v>
      </c>
      <c r="AZ134" s="48">
        <v>9584.86</v>
      </c>
      <c r="BA134" s="48">
        <v>6235.44</v>
      </c>
      <c r="BB134" s="48">
        <v>8688.58</v>
      </c>
      <c r="BC134" s="48">
        <v>582.02</v>
      </c>
      <c r="BD134" s="48">
        <v>1553.65</v>
      </c>
      <c r="BE134" s="48"/>
      <c r="BF134" s="48">
        <f t="shared" si="26"/>
        <v>160092.49999999997</v>
      </c>
      <c r="BG134" s="48"/>
      <c r="BH134" s="48"/>
      <c r="BI134" s="48" t="str">
        <f t="shared" si="39"/>
        <v>03052</v>
      </c>
      <c r="BJ134" s="48">
        <f t="shared" si="40"/>
        <v>160092.49999999997</v>
      </c>
      <c r="BK134" s="628">
        <f t="shared" si="41"/>
        <v>0</v>
      </c>
    </row>
    <row r="135" spans="1:63">
      <c r="A135" s="196">
        <v>128</v>
      </c>
      <c r="B135" s="73" t="s">
        <v>392</v>
      </c>
      <c r="C135" s="139" t="s">
        <v>393</v>
      </c>
      <c r="D135" s="168">
        <v>2482.1100000000006</v>
      </c>
      <c r="E135" s="170">
        <v>41069.39</v>
      </c>
      <c r="F135" s="171">
        <f t="shared" si="54"/>
        <v>43551.5</v>
      </c>
      <c r="G135" s="181">
        <v>43106.6</v>
      </c>
      <c r="H135" s="178">
        <v>444.90000000000146</v>
      </c>
      <c r="I135" s="170">
        <v>57158.44</v>
      </c>
      <c r="J135" s="171">
        <f t="shared" si="55"/>
        <v>57603.340000000004</v>
      </c>
      <c r="K135" s="202">
        <v>34568.949999999997</v>
      </c>
      <c r="L135" s="171">
        <v>23034.390000000007</v>
      </c>
      <c r="M135" s="197">
        <v>55938.32</v>
      </c>
      <c r="N135" s="171">
        <f t="shared" si="49"/>
        <v>78972.710000000006</v>
      </c>
      <c r="O135" s="202">
        <v>35346.9</v>
      </c>
      <c r="P135" s="238">
        <v>43625.810000000005</v>
      </c>
      <c r="Q135" s="197">
        <v>60208.66</v>
      </c>
      <c r="R135" s="171">
        <f t="shared" si="50"/>
        <v>103834.47</v>
      </c>
      <c r="S135" s="202">
        <v>44422.11</v>
      </c>
      <c r="T135" s="238">
        <v>59412.36</v>
      </c>
      <c r="U135" s="238">
        <v>60816.579999999987</v>
      </c>
      <c r="V135" s="171">
        <f t="shared" si="51"/>
        <v>120228.93999999999</v>
      </c>
      <c r="W135" s="56">
        <v>50136.770000000004</v>
      </c>
      <c r="X135" s="568">
        <f t="shared" si="32"/>
        <v>70092.169999999984</v>
      </c>
      <c r="Y135" s="569">
        <v>65896.540000000008</v>
      </c>
      <c r="Z135" s="171">
        <f t="shared" si="52"/>
        <v>135988.71</v>
      </c>
      <c r="AA135" s="48">
        <v>58041.889999999985</v>
      </c>
      <c r="AB135" s="238">
        <f t="shared" si="34"/>
        <v>77946.820000000007</v>
      </c>
      <c r="AC135" s="238">
        <v>67444.17</v>
      </c>
      <c r="AD135" s="171">
        <f t="shared" si="53"/>
        <v>145390.99</v>
      </c>
      <c r="AE135" s="238"/>
      <c r="AF135" s="238">
        <f t="shared" si="36"/>
        <v>0</v>
      </c>
      <c r="AG135" s="196">
        <v>127</v>
      </c>
      <c r="AH135" s="73" t="s">
        <v>392</v>
      </c>
      <c r="AI135" s="139" t="s">
        <v>393</v>
      </c>
      <c r="AJ135" s="238">
        <f t="shared" si="37"/>
        <v>0</v>
      </c>
      <c r="AK135" s="238"/>
      <c r="AL135" s="358" t="s">
        <v>392</v>
      </c>
      <c r="AM135" s="48">
        <v>58041.889999999985</v>
      </c>
      <c r="AN135" s="238" t="s">
        <v>392</v>
      </c>
      <c r="AO135" s="238">
        <v>67444.17</v>
      </c>
      <c r="AQ135" s="472">
        <f t="shared" si="38"/>
        <v>0</v>
      </c>
      <c r="AS135" t="s">
        <v>392</v>
      </c>
      <c r="AT135" t="s">
        <v>1779</v>
      </c>
      <c r="AU135" s="48">
        <v>46375.49</v>
      </c>
      <c r="AV135" s="48">
        <v>3536.63</v>
      </c>
      <c r="AW135" s="48">
        <v>994.38</v>
      </c>
      <c r="AX135" s="48">
        <v>0</v>
      </c>
      <c r="AY135" s="48">
        <v>8827.69</v>
      </c>
      <c r="AZ135" s="48">
        <v>2902.99</v>
      </c>
      <c r="BA135" s="48">
        <v>1449.18</v>
      </c>
      <c r="BB135" s="48">
        <v>1173.23</v>
      </c>
      <c r="BC135" s="48">
        <v>243.59</v>
      </c>
      <c r="BD135" s="48">
        <v>1940.99</v>
      </c>
      <c r="BE135" s="48"/>
      <c r="BF135" s="48">
        <f t="shared" ref="BF135:BF198" si="56">SUM(AU135:BE135)</f>
        <v>67444.17</v>
      </c>
      <c r="BG135" s="48"/>
      <c r="BH135" s="48"/>
      <c r="BI135" s="48" t="str">
        <f t="shared" si="39"/>
        <v>19403</v>
      </c>
      <c r="BJ135" s="48">
        <f t="shared" si="40"/>
        <v>67444.17</v>
      </c>
      <c r="BK135" s="628">
        <f t="shared" si="41"/>
        <v>0</v>
      </c>
    </row>
    <row r="136" spans="1:63">
      <c r="A136" s="196">
        <v>129</v>
      </c>
      <c r="B136" s="73" t="s">
        <v>406</v>
      </c>
      <c r="C136" s="139" t="s">
        <v>407</v>
      </c>
      <c r="D136" s="168">
        <v>2941.46</v>
      </c>
      <c r="E136" s="170">
        <v>12611.93</v>
      </c>
      <c r="F136" s="171">
        <f t="shared" si="54"/>
        <v>15553.39</v>
      </c>
      <c r="G136" s="181">
        <v>7588.65</v>
      </c>
      <c r="H136" s="178">
        <v>7964.74</v>
      </c>
      <c r="I136" s="170">
        <v>19060.11</v>
      </c>
      <c r="J136" s="171">
        <f t="shared" si="55"/>
        <v>27024.85</v>
      </c>
      <c r="K136" s="202">
        <v>7992.17</v>
      </c>
      <c r="L136" s="171">
        <v>19032.68</v>
      </c>
      <c r="M136" s="197">
        <v>19736.64</v>
      </c>
      <c r="N136" s="171">
        <f t="shared" si="49"/>
        <v>38769.32</v>
      </c>
      <c r="O136" s="202">
        <v>14894.45</v>
      </c>
      <c r="P136" s="238">
        <v>23874.87</v>
      </c>
      <c r="Q136" s="197">
        <v>21159.54</v>
      </c>
      <c r="R136" s="171">
        <f t="shared" si="50"/>
        <v>45034.41</v>
      </c>
      <c r="S136" s="202">
        <v>13995.61</v>
      </c>
      <c r="T136" s="238">
        <v>31038.800000000003</v>
      </c>
      <c r="U136" s="238">
        <v>20310.73</v>
      </c>
      <c r="V136" s="171">
        <f t="shared" si="51"/>
        <v>51349.53</v>
      </c>
      <c r="W136" s="56">
        <v>17883.050000000003</v>
      </c>
      <c r="X136" s="568">
        <f t="shared" ref="X136:X199" si="57">IF(+V136-W136&lt;0,0,(+V136-W136))</f>
        <v>33466.479999999996</v>
      </c>
      <c r="Y136" s="569">
        <v>20707.330000000002</v>
      </c>
      <c r="Z136" s="171">
        <f t="shared" si="52"/>
        <v>54173.81</v>
      </c>
      <c r="AA136" s="48">
        <v>21740.400000000001</v>
      </c>
      <c r="AB136" s="238">
        <f t="shared" ref="AB136:AB199" si="58">IF(+Z136-AA136&lt;0,0,(+Z136-AA136))</f>
        <v>32433.409999999996</v>
      </c>
      <c r="AC136" s="238">
        <v>20766.659999999996</v>
      </c>
      <c r="AD136" s="171">
        <f t="shared" si="53"/>
        <v>53200.069999999992</v>
      </c>
      <c r="AE136" s="238"/>
      <c r="AF136" s="238">
        <f t="shared" ref="AF136:AF199" si="59">+AH136-B136</f>
        <v>0</v>
      </c>
      <c r="AG136" s="196">
        <v>128</v>
      </c>
      <c r="AH136" s="73" t="s">
        <v>406</v>
      </c>
      <c r="AI136" s="139" t="s">
        <v>407</v>
      </c>
      <c r="AJ136" s="238">
        <f t="shared" ref="AJ136:AJ199" si="60">+AL136-B136</f>
        <v>0</v>
      </c>
      <c r="AK136" s="238"/>
      <c r="AL136" s="358" t="s">
        <v>406</v>
      </c>
      <c r="AM136" s="48">
        <v>21740.400000000001</v>
      </c>
      <c r="AN136" s="238" t="s">
        <v>406</v>
      </c>
      <c r="AO136" s="238">
        <v>20766.659999999996</v>
      </c>
      <c r="AQ136" s="472">
        <f t="shared" ref="AQ136:AQ199" si="61">+AS136-B136</f>
        <v>0</v>
      </c>
      <c r="AS136" t="s">
        <v>406</v>
      </c>
      <c r="AT136" t="s">
        <v>1786</v>
      </c>
      <c r="AU136" s="48">
        <v>20328.939999999999</v>
      </c>
      <c r="AV136" s="48">
        <v>0</v>
      </c>
      <c r="AW136" s="48">
        <v>0</v>
      </c>
      <c r="AX136" s="48">
        <v>0</v>
      </c>
      <c r="AY136" s="48">
        <v>0</v>
      </c>
      <c r="AZ136" s="48">
        <v>404.05</v>
      </c>
      <c r="BA136" s="48">
        <v>0</v>
      </c>
      <c r="BB136" s="48">
        <v>0</v>
      </c>
      <c r="BC136" s="48">
        <v>33.67</v>
      </c>
      <c r="BD136" s="48">
        <v>0</v>
      </c>
      <c r="BE136" s="48"/>
      <c r="BF136" s="48">
        <f t="shared" si="56"/>
        <v>20766.659999999996</v>
      </c>
      <c r="BG136" s="48"/>
      <c r="BH136" s="48"/>
      <c r="BI136" s="48" t="str">
        <f t="shared" ref="BI136:BI199" si="62">TEXT(AS136, "00000")</f>
        <v>20402</v>
      </c>
      <c r="BJ136" s="48">
        <f t="shared" ref="BJ136:BJ199" si="63">BF136</f>
        <v>20766.659999999996</v>
      </c>
      <c r="BK136" s="628">
        <f t="shared" ref="BK136:BK199" si="64">+BI136-B136</f>
        <v>0</v>
      </c>
    </row>
    <row r="137" spans="1:63">
      <c r="A137" s="196">
        <v>130</v>
      </c>
      <c r="B137" s="73" t="s">
        <v>550</v>
      </c>
      <c r="C137" s="139" t="s">
        <v>551</v>
      </c>
      <c r="D137" s="168">
        <v>0</v>
      </c>
      <c r="E137" s="170">
        <v>47848.420000000006</v>
      </c>
      <c r="F137" s="171">
        <f t="shared" si="54"/>
        <v>47848.420000000006</v>
      </c>
      <c r="G137" s="181">
        <v>48964.98</v>
      </c>
      <c r="H137" s="178">
        <v>0</v>
      </c>
      <c r="I137" s="170">
        <v>66829.39</v>
      </c>
      <c r="J137" s="171">
        <f t="shared" si="55"/>
        <v>66829.39</v>
      </c>
      <c r="K137" s="202">
        <v>68620.08</v>
      </c>
      <c r="L137" s="171">
        <v>0</v>
      </c>
      <c r="M137" s="197">
        <v>64529.5</v>
      </c>
      <c r="N137" s="171">
        <f t="shared" si="49"/>
        <v>64529.5</v>
      </c>
      <c r="O137" s="202">
        <v>77440.569999999992</v>
      </c>
      <c r="P137" s="238">
        <v>0</v>
      </c>
      <c r="Q137" s="197">
        <v>69114.070000000007</v>
      </c>
      <c r="R137" s="171">
        <f t="shared" si="50"/>
        <v>69114.070000000007</v>
      </c>
      <c r="S137" s="202">
        <v>69114.990000000005</v>
      </c>
      <c r="T137" s="238">
        <v>0</v>
      </c>
      <c r="U137" s="238">
        <v>66043.25</v>
      </c>
      <c r="V137" s="171">
        <f t="shared" si="51"/>
        <v>66043.25</v>
      </c>
      <c r="W137" s="56">
        <v>87407.420000000013</v>
      </c>
      <c r="X137" s="568">
        <f t="shared" si="57"/>
        <v>0</v>
      </c>
      <c r="Y137" s="569">
        <v>64511.62999999999</v>
      </c>
      <c r="Z137" s="171">
        <f t="shared" si="52"/>
        <v>64511.62999999999</v>
      </c>
      <c r="AA137" s="48">
        <v>88570.460000000021</v>
      </c>
      <c r="AB137" s="238">
        <f t="shared" si="58"/>
        <v>0</v>
      </c>
      <c r="AC137" s="238">
        <v>61578.29</v>
      </c>
      <c r="AD137" s="171">
        <f t="shared" si="53"/>
        <v>61578.29</v>
      </c>
      <c r="AE137" s="238"/>
      <c r="AF137" s="238">
        <f t="shared" si="59"/>
        <v>0</v>
      </c>
      <c r="AG137" s="196">
        <v>129</v>
      </c>
      <c r="AH137" s="73" t="s">
        <v>550</v>
      </c>
      <c r="AI137" s="139" t="s">
        <v>551</v>
      </c>
      <c r="AJ137" s="238">
        <f t="shared" si="60"/>
        <v>0</v>
      </c>
      <c r="AK137" s="238"/>
      <c r="AL137" s="358" t="s">
        <v>550</v>
      </c>
      <c r="AM137" s="48">
        <v>88570.460000000021</v>
      </c>
      <c r="AN137" s="238" t="s">
        <v>550</v>
      </c>
      <c r="AO137" s="238">
        <v>61578.29</v>
      </c>
      <c r="AQ137" s="472">
        <f t="shared" si="61"/>
        <v>0</v>
      </c>
      <c r="AS137" t="s">
        <v>550</v>
      </c>
      <c r="AT137" t="s">
        <v>1857</v>
      </c>
      <c r="AU137" s="48">
        <v>45455.11</v>
      </c>
      <c r="AV137" s="48">
        <v>2053.0300000000002</v>
      </c>
      <c r="AW137" s="48">
        <v>652.69000000000005</v>
      </c>
      <c r="AX137" s="48">
        <v>0</v>
      </c>
      <c r="AY137" s="48">
        <v>7042.52</v>
      </c>
      <c r="AZ137" s="48">
        <v>3268.63</v>
      </c>
      <c r="BA137" s="48">
        <v>2388.0100000000002</v>
      </c>
      <c r="BB137" s="48">
        <v>486.92</v>
      </c>
      <c r="BC137" s="48">
        <v>231.38</v>
      </c>
      <c r="BD137" s="48">
        <v>0</v>
      </c>
      <c r="BE137" s="48"/>
      <c r="BF137" s="48">
        <f t="shared" si="56"/>
        <v>61578.29</v>
      </c>
      <c r="BG137" s="48"/>
      <c r="BH137" s="48"/>
      <c r="BI137" s="48" t="str">
        <f t="shared" si="62"/>
        <v>29311</v>
      </c>
      <c r="BJ137" s="48">
        <f t="shared" si="63"/>
        <v>61578.29</v>
      </c>
      <c r="BK137" s="628">
        <f t="shared" si="64"/>
        <v>0</v>
      </c>
    </row>
    <row r="138" spans="1:63">
      <c r="A138" s="196">
        <v>131</v>
      </c>
      <c r="B138" s="73" t="s">
        <v>217</v>
      </c>
      <c r="C138" s="139" t="s">
        <v>1195</v>
      </c>
      <c r="D138" s="168">
        <v>45455.72</v>
      </c>
      <c r="E138" s="170">
        <v>105514.59999999999</v>
      </c>
      <c r="F138" s="171">
        <f t="shared" si="54"/>
        <v>150970.32</v>
      </c>
      <c r="G138" s="181">
        <v>109808.03</v>
      </c>
      <c r="H138" s="178">
        <v>41162.290000000008</v>
      </c>
      <c r="I138" s="170">
        <v>139662.26999999999</v>
      </c>
      <c r="J138" s="171">
        <f t="shared" si="55"/>
        <v>180824.56</v>
      </c>
      <c r="K138" s="202">
        <v>170184.27000000002</v>
      </c>
      <c r="L138" s="171">
        <v>10640.289999999979</v>
      </c>
      <c r="M138" s="197">
        <v>154160.63</v>
      </c>
      <c r="N138" s="171">
        <f t="shared" si="49"/>
        <v>164800.91999999998</v>
      </c>
      <c r="O138" s="202">
        <v>175380.65999999997</v>
      </c>
      <c r="P138" s="238">
        <v>0</v>
      </c>
      <c r="Q138" s="197">
        <v>174685.7</v>
      </c>
      <c r="R138" s="171">
        <f t="shared" si="50"/>
        <v>174685.7</v>
      </c>
      <c r="S138" s="202">
        <v>184546.3</v>
      </c>
      <c r="T138" s="238">
        <v>0</v>
      </c>
      <c r="U138" s="238">
        <v>192932.13</v>
      </c>
      <c r="V138" s="171">
        <f t="shared" si="51"/>
        <v>192932.13</v>
      </c>
      <c r="W138" s="56">
        <v>190694.59</v>
      </c>
      <c r="X138" s="568">
        <f t="shared" si="57"/>
        <v>2237.5400000000081</v>
      </c>
      <c r="Y138" s="569">
        <v>202530.43000000002</v>
      </c>
      <c r="Z138" s="171">
        <f t="shared" si="52"/>
        <v>204767.97000000003</v>
      </c>
      <c r="AA138" s="48">
        <v>194546.61999999997</v>
      </c>
      <c r="AB138" s="238">
        <f t="shared" si="58"/>
        <v>10221.350000000064</v>
      </c>
      <c r="AC138" s="238">
        <v>196519.67</v>
      </c>
      <c r="AD138" s="171">
        <f t="shared" si="53"/>
        <v>206741.02000000008</v>
      </c>
      <c r="AE138" s="238"/>
      <c r="AF138" s="238">
        <f t="shared" si="59"/>
        <v>0</v>
      </c>
      <c r="AG138" s="196">
        <v>130</v>
      </c>
      <c r="AH138" s="73" t="s">
        <v>217</v>
      </c>
      <c r="AI138" s="139" t="s">
        <v>1195</v>
      </c>
      <c r="AJ138" s="238">
        <f t="shared" si="60"/>
        <v>0</v>
      </c>
      <c r="AK138" s="238"/>
      <c r="AL138" s="358" t="s">
        <v>217</v>
      </c>
      <c r="AM138" s="48">
        <v>194546.61999999997</v>
      </c>
      <c r="AN138" s="238" t="s">
        <v>217</v>
      </c>
      <c r="AO138" s="238">
        <v>196519.67</v>
      </c>
      <c r="AQ138" s="472">
        <f t="shared" si="61"/>
        <v>0</v>
      </c>
      <c r="AS138" t="s">
        <v>217</v>
      </c>
      <c r="AT138" t="s">
        <v>1687</v>
      </c>
      <c r="AU138" s="48">
        <v>151879.17000000001</v>
      </c>
      <c r="AV138" s="48">
        <v>15081.24</v>
      </c>
      <c r="AW138" s="48">
        <v>676.65</v>
      </c>
      <c r="AX138" s="48">
        <v>0</v>
      </c>
      <c r="AY138" s="48">
        <v>20554.259999999998</v>
      </c>
      <c r="AZ138" s="48">
        <v>5652.29</v>
      </c>
      <c r="BA138" s="48">
        <v>0</v>
      </c>
      <c r="BB138" s="48">
        <v>1789.13</v>
      </c>
      <c r="BC138" s="48">
        <v>886.93</v>
      </c>
      <c r="BD138" s="48">
        <v>0</v>
      </c>
      <c r="BE138" s="48"/>
      <c r="BF138" s="48">
        <f t="shared" si="56"/>
        <v>196519.67</v>
      </c>
      <c r="BG138" s="48"/>
      <c r="BH138" s="48"/>
      <c r="BI138" s="48" t="str">
        <f t="shared" si="62"/>
        <v>06101</v>
      </c>
      <c r="BJ138" s="48">
        <f t="shared" si="63"/>
        <v>196519.67</v>
      </c>
      <c r="BK138" s="628">
        <f t="shared" si="64"/>
        <v>0</v>
      </c>
    </row>
    <row r="139" spans="1:63">
      <c r="A139" s="196">
        <v>132</v>
      </c>
      <c r="B139" s="73" t="s">
        <v>685</v>
      </c>
      <c r="C139" s="139" t="s">
        <v>686</v>
      </c>
      <c r="D139" s="168">
        <v>4897.58</v>
      </c>
      <c r="E139" s="170">
        <v>12832.039999999999</v>
      </c>
      <c r="F139" s="171">
        <f t="shared" si="54"/>
        <v>17729.62</v>
      </c>
      <c r="G139" s="181">
        <v>6405.71</v>
      </c>
      <c r="H139" s="178">
        <v>11323.91</v>
      </c>
      <c r="I139" s="170">
        <v>19934.330000000002</v>
      </c>
      <c r="J139" s="171">
        <f t="shared" si="55"/>
        <v>31258.240000000002</v>
      </c>
      <c r="K139" s="202">
        <v>22802.5</v>
      </c>
      <c r="L139" s="171">
        <v>8455.7400000000016</v>
      </c>
      <c r="M139" s="197">
        <v>19923.179999999997</v>
      </c>
      <c r="N139" s="171">
        <f t="shared" si="49"/>
        <v>28378.92</v>
      </c>
      <c r="O139" s="202">
        <v>18105.73</v>
      </c>
      <c r="P139" s="238">
        <v>10273.189999999999</v>
      </c>
      <c r="Q139" s="197">
        <v>21339.62</v>
      </c>
      <c r="R139" s="171">
        <f t="shared" si="50"/>
        <v>31612.809999999998</v>
      </c>
      <c r="S139" s="202">
        <v>3660.36</v>
      </c>
      <c r="T139" s="238">
        <v>27952.449999999997</v>
      </c>
      <c r="U139" s="238">
        <v>20931.87</v>
      </c>
      <c r="V139" s="171">
        <f t="shared" si="51"/>
        <v>48884.319999999992</v>
      </c>
      <c r="W139" s="56">
        <v>5182.34</v>
      </c>
      <c r="X139" s="568">
        <f t="shared" si="57"/>
        <v>43701.979999999996</v>
      </c>
      <c r="Y139" s="569">
        <v>21786.1</v>
      </c>
      <c r="Z139" s="171">
        <f t="shared" si="52"/>
        <v>65488.079999999994</v>
      </c>
      <c r="AA139" s="48">
        <v>29902.04</v>
      </c>
      <c r="AB139" s="238">
        <f t="shared" si="58"/>
        <v>35586.039999999994</v>
      </c>
      <c r="AC139" s="238">
        <v>21933.55</v>
      </c>
      <c r="AD139" s="171">
        <f t="shared" si="53"/>
        <v>57519.59</v>
      </c>
      <c r="AE139" s="238"/>
      <c r="AF139" s="238">
        <f t="shared" si="59"/>
        <v>0</v>
      </c>
      <c r="AG139" s="196">
        <v>131</v>
      </c>
      <c r="AH139" s="73" t="s">
        <v>685</v>
      </c>
      <c r="AI139" s="139" t="s">
        <v>686</v>
      </c>
      <c r="AJ139" s="238">
        <f t="shared" si="60"/>
        <v>0</v>
      </c>
      <c r="AK139" s="238"/>
      <c r="AL139" s="358" t="s">
        <v>685</v>
      </c>
      <c r="AM139" s="48">
        <v>29902.04</v>
      </c>
      <c r="AN139" s="238" t="s">
        <v>685</v>
      </c>
      <c r="AO139" s="238">
        <v>21933.55</v>
      </c>
      <c r="AQ139" s="472">
        <f t="shared" si="61"/>
        <v>0</v>
      </c>
      <c r="AS139" t="s">
        <v>685</v>
      </c>
      <c r="AT139" t="s">
        <v>1929</v>
      </c>
      <c r="AU139" s="48">
        <v>19169.34</v>
      </c>
      <c r="AV139" s="48">
        <v>433.21</v>
      </c>
      <c r="AW139" s="48">
        <v>0</v>
      </c>
      <c r="AX139" s="48">
        <v>0</v>
      </c>
      <c r="AY139" s="48">
        <v>1520.08</v>
      </c>
      <c r="AZ139" s="48">
        <v>326.83999999999997</v>
      </c>
      <c r="BA139" s="48">
        <v>157.25</v>
      </c>
      <c r="BB139" s="48">
        <v>0</v>
      </c>
      <c r="BC139" s="48">
        <v>30.83</v>
      </c>
      <c r="BD139" s="48">
        <v>296</v>
      </c>
      <c r="BE139" s="48"/>
      <c r="BF139" s="48">
        <f t="shared" si="56"/>
        <v>21933.55</v>
      </c>
      <c r="BG139" s="48"/>
      <c r="BH139" s="48"/>
      <c r="BI139" s="48" t="str">
        <f t="shared" si="62"/>
        <v>38126</v>
      </c>
      <c r="BJ139" s="48">
        <f t="shared" si="63"/>
        <v>21933.55</v>
      </c>
      <c r="BK139" s="628">
        <f t="shared" si="64"/>
        <v>0</v>
      </c>
    </row>
    <row r="140" spans="1:63">
      <c r="A140" s="196">
        <v>133</v>
      </c>
      <c r="B140" s="73" t="s">
        <v>195</v>
      </c>
      <c r="C140" s="139" t="s">
        <v>196</v>
      </c>
      <c r="D140" s="168">
        <v>38608.43</v>
      </c>
      <c r="E140" s="170">
        <v>92561.78</v>
      </c>
      <c r="F140" s="171">
        <f t="shared" si="54"/>
        <v>131170.21</v>
      </c>
      <c r="G140" s="181">
        <v>94647.07</v>
      </c>
      <c r="H140" s="178">
        <v>36523.139999999985</v>
      </c>
      <c r="I140" s="170">
        <v>134275.22</v>
      </c>
      <c r="J140" s="171">
        <f t="shared" si="55"/>
        <v>170798.36</v>
      </c>
      <c r="K140" s="202">
        <v>133983.47999999998</v>
      </c>
      <c r="L140" s="171">
        <v>36814.880000000005</v>
      </c>
      <c r="M140" s="197">
        <v>125866.18</v>
      </c>
      <c r="N140" s="171">
        <f t="shared" si="49"/>
        <v>162681.06</v>
      </c>
      <c r="O140" s="202">
        <v>111112.45</v>
      </c>
      <c r="P140" s="238">
        <v>51568.61</v>
      </c>
      <c r="Q140" s="197">
        <v>136293.36000000002</v>
      </c>
      <c r="R140" s="171">
        <f t="shared" si="50"/>
        <v>187861.97000000003</v>
      </c>
      <c r="S140" s="202">
        <v>187861.99999999997</v>
      </c>
      <c r="T140" s="238">
        <v>0</v>
      </c>
      <c r="U140" s="238">
        <v>139279.35</v>
      </c>
      <c r="V140" s="171">
        <f t="shared" si="51"/>
        <v>139279.35</v>
      </c>
      <c r="W140" s="56">
        <v>139279.34999999998</v>
      </c>
      <c r="X140" s="568">
        <f t="shared" si="57"/>
        <v>2.9103830456733704E-11</v>
      </c>
      <c r="Y140" s="569">
        <v>150863.54000000004</v>
      </c>
      <c r="Z140" s="171">
        <f t="shared" si="52"/>
        <v>150863.54000000007</v>
      </c>
      <c r="AA140" s="48">
        <v>146673.24000000002</v>
      </c>
      <c r="AB140" s="238">
        <f t="shared" si="58"/>
        <v>4190.3000000000466</v>
      </c>
      <c r="AC140" s="238">
        <v>141803.97</v>
      </c>
      <c r="AD140" s="171">
        <f t="shared" si="53"/>
        <v>145994.27000000005</v>
      </c>
      <c r="AE140" s="238"/>
      <c r="AF140" s="238">
        <f t="shared" si="59"/>
        <v>0</v>
      </c>
      <c r="AG140" s="196">
        <v>132</v>
      </c>
      <c r="AH140" s="73" t="s">
        <v>195</v>
      </c>
      <c r="AI140" s="139" t="s">
        <v>196</v>
      </c>
      <c r="AJ140" s="238">
        <f t="shared" si="60"/>
        <v>0</v>
      </c>
      <c r="AK140" s="238"/>
      <c r="AL140" s="358" t="s">
        <v>195</v>
      </c>
      <c r="AM140" s="48">
        <v>146673.24000000002</v>
      </c>
      <c r="AN140" s="238" t="s">
        <v>195</v>
      </c>
      <c r="AO140" s="238">
        <v>141803.97</v>
      </c>
      <c r="AQ140" s="472">
        <f t="shared" si="61"/>
        <v>0</v>
      </c>
      <c r="AS140" t="s">
        <v>195</v>
      </c>
      <c r="AT140" t="s">
        <v>1675</v>
      </c>
      <c r="AU140" s="48">
        <v>90520.17</v>
      </c>
      <c r="AV140" s="48">
        <v>11635.12</v>
      </c>
      <c r="AW140" s="48">
        <v>2309.4499999999998</v>
      </c>
      <c r="AX140" s="48">
        <v>0</v>
      </c>
      <c r="AY140" s="48">
        <v>14698.01</v>
      </c>
      <c r="AZ140" s="48">
        <v>7173.47</v>
      </c>
      <c r="BA140" s="48">
        <v>5620.99</v>
      </c>
      <c r="BB140" s="48">
        <v>9305.6299999999992</v>
      </c>
      <c r="BC140" s="48">
        <v>541.13</v>
      </c>
      <c r="BD140" s="48">
        <v>0</v>
      </c>
      <c r="BE140" s="48"/>
      <c r="BF140" s="48">
        <f t="shared" si="56"/>
        <v>141803.97</v>
      </c>
      <c r="BG140" s="48"/>
      <c r="BH140" s="48"/>
      <c r="BI140" s="48" t="str">
        <f t="shared" si="62"/>
        <v>04129</v>
      </c>
      <c r="BJ140" s="48">
        <f t="shared" si="63"/>
        <v>141803.97</v>
      </c>
      <c r="BK140" s="628">
        <f t="shared" si="64"/>
        <v>0</v>
      </c>
    </row>
    <row r="141" spans="1:63">
      <c r="A141" s="196">
        <v>134</v>
      </c>
      <c r="B141" s="73" t="s">
        <v>566</v>
      </c>
      <c r="C141" s="139" t="s">
        <v>567</v>
      </c>
      <c r="D141" s="168">
        <v>0</v>
      </c>
      <c r="E141" s="170">
        <v>677651.62999999989</v>
      </c>
      <c r="F141" s="171">
        <f t="shared" si="54"/>
        <v>677651.62999999989</v>
      </c>
      <c r="G141" s="181">
        <v>747983.05</v>
      </c>
      <c r="H141" s="178">
        <v>0</v>
      </c>
      <c r="I141" s="170">
        <v>964893.79</v>
      </c>
      <c r="J141" s="171">
        <f t="shared" si="55"/>
        <v>964893.79</v>
      </c>
      <c r="K141" s="202">
        <v>1120354.73</v>
      </c>
      <c r="L141" s="171">
        <v>0</v>
      </c>
      <c r="M141" s="197">
        <v>1008288.3400000001</v>
      </c>
      <c r="N141" s="171">
        <f t="shared" si="49"/>
        <v>1008288.3400000001</v>
      </c>
      <c r="O141" s="202">
        <v>1036620.72</v>
      </c>
      <c r="P141" s="238">
        <v>0</v>
      </c>
      <c r="Q141" s="197">
        <v>1080841.6299999999</v>
      </c>
      <c r="R141" s="171">
        <f t="shared" si="50"/>
        <v>1080841.6299999999</v>
      </c>
      <c r="S141" s="202">
        <v>1124211.0499999998</v>
      </c>
      <c r="T141" s="238">
        <v>0</v>
      </c>
      <c r="U141" s="238">
        <v>1140421.96</v>
      </c>
      <c r="V141" s="171">
        <f t="shared" si="51"/>
        <v>1140421.96</v>
      </c>
      <c r="W141" s="56">
        <v>1167899.3700000003</v>
      </c>
      <c r="X141" s="568">
        <f t="shared" si="57"/>
        <v>0</v>
      </c>
      <c r="Y141" s="569">
        <v>1239013.53</v>
      </c>
      <c r="Z141" s="171">
        <f t="shared" si="52"/>
        <v>1239013.53</v>
      </c>
      <c r="AA141" s="48">
        <v>1335361.9900000012</v>
      </c>
      <c r="AB141" s="238">
        <f t="shared" si="58"/>
        <v>0</v>
      </c>
      <c r="AC141" s="238">
        <v>1213006.73</v>
      </c>
      <c r="AD141" s="171">
        <f t="shared" si="53"/>
        <v>1213006.73</v>
      </c>
      <c r="AE141" s="238"/>
      <c r="AF141" s="238">
        <f t="shared" si="59"/>
        <v>0</v>
      </c>
      <c r="AG141" s="196">
        <v>133</v>
      </c>
      <c r="AH141" s="73" t="s">
        <v>566</v>
      </c>
      <c r="AI141" s="139" t="s">
        <v>567</v>
      </c>
      <c r="AJ141" s="238">
        <f t="shared" si="60"/>
        <v>0</v>
      </c>
      <c r="AK141" s="238"/>
      <c r="AL141" s="358" t="s">
        <v>566</v>
      </c>
      <c r="AM141" s="48">
        <v>1335361.9900000012</v>
      </c>
      <c r="AN141" s="238" t="s">
        <v>566</v>
      </c>
      <c r="AO141" s="238">
        <v>1213006.73</v>
      </c>
      <c r="AQ141" s="472">
        <f t="shared" si="61"/>
        <v>0</v>
      </c>
      <c r="AS141" t="s">
        <v>566</v>
      </c>
      <c r="AT141" t="s">
        <v>1865</v>
      </c>
      <c r="AU141" s="48">
        <v>926233.85</v>
      </c>
      <c r="AV141" s="48">
        <v>46736.84</v>
      </c>
      <c r="AW141" s="48">
        <v>12914.44</v>
      </c>
      <c r="AX141" s="48">
        <v>0</v>
      </c>
      <c r="AY141" s="48">
        <v>165358.25</v>
      </c>
      <c r="AZ141" s="48">
        <v>33423.99</v>
      </c>
      <c r="BA141" s="48">
        <v>0</v>
      </c>
      <c r="BB141" s="48">
        <v>23172.85</v>
      </c>
      <c r="BC141" s="48">
        <v>5166.51</v>
      </c>
      <c r="BD141" s="48">
        <v>0</v>
      </c>
      <c r="BE141" s="48"/>
      <c r="BF141" s="48">
        <f t="shared" si="56"/>
        <v>1213006.73</v>
      </c>
      <c r="BG141" s="48"/>
      <c r="BH141" s="48"/>
      <c r="BI141" s="48" t="str">
        <f t="shared" si="62"/>
        <v>31004</v>
      </c>
      <c r="BJ141" s="48">
        <f t="shared" si="63"/>
        <v>1213006.73</v>
      </c>
      <c r="BK141" s="628">
        <f t="shared" si="64"/>
        <v>0</v>
      </c>
    </row>
    <row r="142" spans="1:63">
      <c r="A142" s="196">
        <v>135</v>
      </c>
      <c r="B142" s="73" t="s">
        <v>368</v>
      </c>
      <c r="C142" s="139" t="s">
        <v>369</v>
      </c>
      <c r="D142" s="168">
        <v>0</v>
      </c>
      <c r="E142" s="170">
        <v>2210473.4900000002</v>
      </c>
      <c r="F142" s="171">
        <f t="shared" si="54"/>
        <v>2210473.4900000002</v>
      </c>
      <c r="G142" s="181">
        <v>2210473.4900000002</v>
      </c>
      <c r="H142" s="178">
        <v>0</v>
      </c>
      <c r="I142" s="170">
        <v>3148521.2899999996</v>
      </c>
      <c r="J142" s="171">
        <f t="shared" si="55"/>
        <v>3148521.2899999996</v>
      </c>
      <c r="K142" s="202">
        <v>3178521.2900000005</v>
      </c>
      <c r="L142" s="171">
        <v>0</v>
      </c>
      <c r="M142" s="197">
        <v>3150381.17</v>
      </c>
      <c r="N142" s="171">
        <f t="shared" si="49"/>
        <v>3150381.17</v>
      </c>
      <c r="O142" s="202">
        <v>3152160.54</v>
      </c>
      <c r="P142" s="238">
        <v>0</v>
      </c>
      <c r="Q142" s="197">
        <v>3378890.89</v>
      </c>
      <c r="R142" s="171">
        <f t="shared" si="50"/>
        <v>3378890.89</v>
      </c>
      <c r="S142" s="202">
        <v>3368677.9800000004</v>
      </c>
      <c r="T142" s="238">
        <v>10212.909999999683</v>
      </c>
      <c r="U142" s="238">
        <v>3464127.06</v>
      </c>
      <c r="V142" s="171">
        <f t="shared" si="51"/>
        <v>3474339.9699999997</v>
      </c>
      <c r="W142" s="56">
        <v>3464127.0599999996</v>
      </c>
      <c r="X142" s="568">
        <f t="shared" si="57"/>
        <v>10212.910000000149</v>
      </c>
      <c r="Y142" s="569">
        <v>3651613.5299999989</v>
      </c>
      <c r="Z142" s="171">
        <f t="shared" si="52"/>
        <v>3661826.439999999</v>
      </c>
      <c r="AA142" s="48">
        <v>3651613.53</v>
      </c>
      <c r="AB142" s="238">
        <f t="shared" si="58"/>
        <v>10212.909999999218</v>
      </c>
      <c r="AC142" s="238">
        <v>3444463.16</v>
      </c>
      <c r="AD142" s="171">
        <f t="shared" si="53"/>
        <v>3454676.0699999994</v>
      </c>
      <c r="AE142" s="238"/>
      <c r="AF142" s="238">
        <f t="shared" si="59"/>
        <v>0</v>
      </c>
      <c r="AG142" s="196">
        <v>134</v>
      </c>
      <c r="AH142" s="73" t="s">
        <v>368</v>
      </c>
      <c r="AI142" s="139" t="s">
        <v>369</v>
      </c>
      <c r="AJ142" s="238">
        <f t="shared" si="60"/>
        <v>0</v>
      </c>
      <c r="AK142" s="238"/>
      <c r="AL142" s="358" t="s">
        <v>368</v>
      </c>
      <c r="AM142" s="48">
        <v>3651613.53</v>
      </c>
      <c r="AN142" s="238" t="s">
        <v>368</v>
      </c>
      <c r="AO142" s="238">
        <v>3444463.16</v>
      </c>
      <c r="AQ142" s="472">
        <f t="shared" si="61"/>
        <v>0</v>
      </c>
      <c r="AS142" t="s">
        <v>368</v>
      </c>
      <c r="AT142" t="s">
        <v>1765</v>
      </c>
      <c r="AU142" s="48">
        <v>2823228.06</v>
      </c>
      <c r="AV142" s="48">
        <v>161851.60999999999</v>
      </c>
      <c r="AW142" s="48">
        <v>31644.83</v>
      </c>
      <c r="AX142" s="48">
        <v>61121.18</v>
      </c>
      <c r="AY142" s="48">
        <v>191267.48</v>
      </c>
      <c r="AZ142" s="48">
        <v>45279.67</v>
      </c>
      <c r="BA142" s="48">
        <v>0</v>
      </c>
      <c r="BB142" s="48">
        <v>114186.98</v>
      </c>
      <c r="BC142" s="48">
        <v>15883.35</v>
      </c>
      <c r="BD142" s="48">
        <v>0</v>
      </c>
      <c r="BE142" s="48"/>
      <c r="BF142" s="48">
        <f t="shared" si="56"/>
        <v>3444463.16</v>
      </c>
      <c r="BG142" s="48"/>
      <c r="BH142" s="48"/>
      <c r="BI142" s="48" t="str">
        <f t="shared" si="62"/>
        <v>17414</v>
      </c>
      <c r="BJ142" s="48">
        <f t="shared" si="63"/>
        <v>3444463.16</v>
      </c>
      <c r="BK142" s="628">
        <f t="shared" si="64"/>
        <v>0</v>
      </c>
    </row>
    <row r="143" spans="1:63">
      <c r="A143" s="196">
        <v>136</v>
      </c>
      <c r="B143" s="73" t="s">
        <v>582</v>
      </c>
      <c r="C143" s="139" t="s">
        <v>583</v>
      </c>
      <c r="D143" s="168">
        <v>0</v>
      </c>
      <c r="E143" s="170">
        <v>183212.68</v>
      </c>
      <c r="F143" s="171">
        <f t="shared" si="54"/>
        <v>183212.68</v>
      </c>
      <c r="G143" s="181">
        <v>128900.49</v>
      </c>
      <c r="H143" s="178">
        <v>54312.189999999988</v>
      </c>
      <c r="I143" s="170">
        <v>260000.15</v>
      </c>
      <c r="J143" s="171">
        <f t="shared" si="55"/>
        <v>314312.33999999997</v>
      </c>
      <c r="K143" s="202">
        <v>110315.85999999999</v>
      </c>
      <c r="L143" s="171">
        <v>203996.47999999998</v>
      </c>
      <c r="M143" s="197">
        <v>265030.19</v>
      </c>
      <c r="N143" s="171">
        <f t="shared" si="49"/>
        <v>469026.67</v>
      </c>
      <c r="O143" s="202">
        <v>205661.28999999998</v>
      </c>
      <c r="P143" s="238">
        <v>263365.38</v>
      </c>
      <c r="Q143" s="197">
        <v>292310.61</v>
      </c>
      <c r="R143" s="171">
        <f t="shared" si="50"/>
        <v>555675.99</v>
      </c>
      <c r="S143" s="202">
        <v>378186.56</v>
      </c>
      <c r="T143" s="238">
        <v>177489.43</v>
      </c>
      <c r="U143" s="238">
        <v>301825.95999999996</v>
      </c>
      <c r="V143" s="171">
        <f t="shared" si="51"/>
        <v>479315.38999999996</v>
      </c>
      <c r="W143" s="56">
        <v>379867.68</v>
      </c>
      <c r="X143" s="568">
        <f t="shared" si="57"/>
        <v>99447.709999999963</v>
      </c>
      <c r="Y143" s="569">
        <v>325604.19000000006</v>
      </c>
      <c r="Z143" s="171">
        <f t="shared" si="52"/>
        <v>425051.9</v>
      </c>
      <c r="AA143" s="48">
        <v>331041.4599999999</v>
      </c>
      <c r="AB143" s="238">
        <f t="shared" si="58"/>
        <v>94010.440000000119</v>
      </c>
      <c r="AC143" s="238">
        <v>329360.76000000007</v>
      </c>
      <c r="AD143" s="171">
        <f t="shared" si="53"/>
        <v>423371.20000000019</v>
      </c>
      <c r="AE143" s="238"/>
      <c r="AF143" s="238">
        <f t="shared" si="59"/>
        <v>0</v>
      </c>
      <c r="AG143" s="196">
        <v>135</v>
      </c>
      <c r="AH143" s="73" t="s">
        <v>582</v>
      </c>
      <c r="AI143" s="139" t="s">
        <v>583</v>
      </c>
      <c r="AJ143" s="238">
        <f t="shared" si="60"/>
        <v>0</v>
      </c>
      <c r="AK143" s="238"/>
      <c r="AL143" s="358" t="s">
        <v>582</v>
      </c>
      <c r="AM143" s="48">
        <v>331041.4599999999</v>
      </c>
      <c r="AN143" s="238" t="s">
        <v>582</v>
      </c>
      <c r="AO143" s="238">
        <v>329360.76000000007</v>
      </c>
      <c r="AQ143" s="472">
        <f t="shared" si="61"/>
        <v>0</v>
      </c>
      <c r="AS143" t="s">
        <v>582</v>
      </c>
      <c r="AT143" t="s">
        <v>1873</v>
      </c>
      <c r="AU143" s="48">
        <v>239360.64000000001</v>
      </c>
      <c r="AV143" s="48">
        <v>13198.82</v>
      </c>
      <c r="AW143" s="48">
        <v>3127.03</v>
      </c>
      <c r="AX143" s="48">
        <v>0</v>
      </c>
      <c r="AY143" s="48">
        <v>46729.26</v>
      </c>
      <c r="AZ143" s="48">
        <v>13608.05</v>
      </c>
      <c r="BA143" s="48">
        <v>2132.46</v>
      </c>
      <c r="BB143" s="48">
        <v>8799.2099999999991</v>
      </c>
      <c r="BC143" s="48">
        <v>1322.65</v>
      </c>
      <c r="BD143" s="48">
        <v>1082.6400000000001</v>
      </c>
      <c r="BE143" s="48"/>
      <c r="BF143" s="48">
        <f t="shared" si="56"/>
        <v>329360.76000000007</v>
      </c>
      <c r="BG143" s="48"/>
      <c r="BH143" s="48"/>
      <c r="BI143" s="48" t="str">
        <f t="shared" si="62"/>
        <v>31306</v>
      </c>
      <c r="BJ143" s="48">
        <f t="shared" si="63"/>
        <v>329360.76000000007</v>
      </c>
      <c r="BK143" s="628">
        <f t="shared" si="64"/>
        <v>0</v>
      </c>
    </row>
    <row r="144" spans="1:63">
      <c r="A144" s="196">
        <v>137</v>
      </c>
      <c r="B144" s="73" t="s">
        <v>687</v>
      </c>
      <c r="C144" s="139" t="s">
        <v>688</v>
      </c>
      <c r="D144" s="168">
        <v>253.01000000000022</v>
      </c>
      <c r="E144" s="170">
        <v>3949.9700000000003</v>
      </c>
      <c r="F144" s="171">
        <f t="shared" si="54"/>
        <v>4202.9800000000005</v>
      </c>
      <c r="G144" s="181">
        <v>3402.66</v>
      </c>
      <c r="H144" s="178">
        <v>800.32000000000062</v>
      </c>
      <c r="I144" s="170">
        <v>5867.87</v>
      </c>
      <c r="J144" s="171">
        <f t="shared" si="55"/>
        <v>6668.1900000000005</v>
      </c>
      <c r="K144" s="202">
        <v>6669.8099999999995</v>
      </c>
      <c r="L144" s="171">
        <v>0</v>
      </c>
      <c r="M144" s="197">
        <v>5845.29</v>
      </c>
      <c r="N144" s="171">
        <f t="shared" si="49"/>
        <v>5845.29</v>
      </c>
      <c r="O144" s="202">
        <v>6152.37</v>
      </c>
      <c r="P144" s="238">
        <v>0</v>
      </c>
      <c r="Q144" s="197">
        <v>6084.83</v>
      </c>
      <c r="R144" s="171">
        <f t="shared" si="50"/>
        <v>6084.83</v>
      </c>
      <c r="S144" s="202">
        <v>5890.33</v>
      </c>
      <c r="T144" s="238">
        <v>194.5</v>
      </c>
      <c r="U144" s="238">
        <v>5908.39</v>
      </c>
      <c r="V144" s="171">
        <f t="shared" si="51"/>
        <v>6102.89</v>
      </c>
      <c r="W144" s="56">
        <v>6191.9000000000005</v>
      </c>
      <c r="X144" s="568">
        <f t="shared" si="57"/>
        <v>0</v>
      </c>
      <c r="Y144" s="569">
        <v>6356.04</v>
      </c>
      <c r="Z144" s="171">
        <f t="shared" si="52"/>
        <v>6356.04</v>
      </c>
      <c r="AA144" s="48">
        <v>5512.03</v>
      </c>
      <c r="AB144" s="238">
        <f t="shared" si="58"/>
        <v>844.01000000000022</v>
      </c>
      <c r="AC144" s="238">
        <v>6444.8499999999995</v>
      </c>
      <c r="AD144" s="171">
        <f t="shared" si="53"/>
        <v>7288.86</v>
      </c>
      <c r="AE144" s="238"/>
      <c r="AF144" s="238">
        <f t="shared" si="59"/>
        <v>0</v>
      </c>
      <c r="AG144" s="196">
        <v>136</v>
      </c>
      <c r="AH144" s="73" t="s">
        <v>687</v>
      </c>
      <c r="AI144" s="139" t="s">
        <v>688</v>
      </c>
      <c r="AJ144" s="238">
        <f t="shared" si="60"/>
        <v>0</v>
      </c>
      <c r="AK144" s="238"/>
      <c r="AL144" s="358" t="s">
        <v>687</v>
      </c>
      <c r="AM144" s="48">
        <v>5512.03</v>
      </c>
      <c r="AN144" s="238" t="s">
        <v>687</v>
      </c>
      <c r="AO144" s="238">
        <v>6444.8499999999995</v>
      </c>
      <c r="AQ144" s="472">
        <f t="shared" si="61"/>
        <v>0</v>
      </c>
      <c r="AS144" t="s">
        <v>687</v>
      </c>
      <c r="AT144" t="s">
        <v>1930</v>
      </c>
      <c r="AU144" s="48">
        <v>5673.41</v>
      </c>
      <c r="AV144" s="48">
        <v>0</v>
      </c>
      <c r="AW144" s="48">
        <v>0</v>
      </c>
      <c r="AX144" s="48">
        <v>0</v>
      </c>
      <c r="AY144" s="48">
        <v>439.98</v>
      </c>
      <c r="AZ144" s="48">
        <v>180.38</v>
      </c>
      <c r="BA144" s="48">
        <v>140.29</v>
      </c>
      <c r="BB144" s="48">
        <v>0</v>
      </c>
      <c r="BC144" s="48">
        <v>10.79</v>
      </c>
      <c r="BD144" s="48">
        <v>0</v>
      </c>
      <c r="BE144" s="48"/>
      <c r="BF144" s="48">
        <f t="shared" si="56"/>
        <v>6444.8499999999995</v>
      </c>
      <c r="BG144" s="48"/>
      <c r="BH144" s="48"/>
      <c r="BI144" s="48" t="str">
        <f t="shared" si="62"/>
        <v>38264</v>
      </c>
      <c r="BJ144" s="48">
        <f t="shared" si="63"/>
        <v>6444.8499999999995</v>
      </c>
      <c r="BK144" s="628">
        <f t="shared" si="64"/>
        <v>0</v>
      </c>
    </row>
    <row r="145" spans="1:63">
      <c r="A145" s="196">
        <v>138</v>
      </c>
      <c r="B145" s="73" t="s">
        <v>611</v>
      </c>
      <c r="C145" s="139" t="s">
        <v>612</v>
      </c>
      <c r="D145" s="168">
        <v>0</v>
      </c>
      <c r="E145" s="170">
        <v>34801.15</v>
      </c>
      <c r="F145" s="171">
        <f t="shared" si="54"/>
        <v>34801.15</v>
      </c>
      <c r="G145" s="181">
        <v>15389.65</v>
      </c>
      <c r="H145" s="178">
        <v>19411.5</v>
      </c>
      <c r="I145" s="170">
        <v>50257.58</v>
      </c>
      <c r="J145" s="171">
        <f t="shared" si="55"/>
        <v>69669.08</v>
      </c>
      <c r="K145" s="202">
        <v>73370.3</v>
      </c>
      <c r="L145" s="171">
        <v>0</v>
      </c>
      <c r="M145" s="197">
        <v>54229.790000000008</v>
      </c>
      <c r="N145" s="171">
        <f t="shared" si="49"/>
        <v>54229.790000000008</v>
      </c>
      <c r="O145" s="202">
        <v>55083.86</v>
      </c>
      <c r="P145" s="238">
        <v>0</v>
      </c>
      <c r="Q145" s="197">
        <v>58452.549999999996</v>
      </c>
      <c r="R145" s="171">
        <f t="shared" si="50"/>
        <v>58452.549999999996</v>
      </c>
      <c r="S145" s="202">
        <v>38739.83</v>
      </c>
      <c r="T145" s="238">
        <v>19712.719999999994</v>
      </c>
      <c r="U145" s="238">
        <v>60802.829999999994</v>
      </c>
      <c r="V145" s="171">
        <f t="shared" si="51"/>
        <v>80515.549999999988</v>
      </c>
      <c r="W145" s="56">
        <v>6846.7</v>
      </c>
      <c r="X145" s="568">
        <f t="shared" si="57"/>
        <v>73668.849999999991</v>
      </c>
      <c r="Y145" s="569">
        <v>66192.320000000007</v>
      </c>
      <c r="Z145" s="171">
        <f t="shared" si="52"/>
        <v>139861.16999999998</v>
      </c>
      <c r="AA145" s="48">
        <v>56022.14</v>
      </c>
      <c r="AB145" s="238">
        <f t="shared" si="58"/>
        <v>83839.029999999984</v>
      </c>
      <c r="AC145" s="238">
        <v>68060.98000000001</v>
      </c>
      <c r="AD145" s="171">
        <f t="shared" si="53"/>
        <v>151900.01</v>
      </c>
      <c r="AE145" s="238"/>
      <c r="AF145" s="238">
        <f t="shared" si="59"/>
        <v>0</v>
      </c>
      <c r="AG145" s="196">
        <v>137</v>
      </c>
      <c r="AH145" s="73" t="s">
        <v>611</v>
      </c>
      <c r="AI145" s="139" t="s">
        <v>612</v>
      </c>
      <c r="AJ145" s="238">
        <f t="shared" si="60"/>
        <v>0</v>
      </c>
      <c r="AK145" s="238"/>
      <c r="AL145" s="358" t="s">
        <v>611</v>
      </c>
      <c r="AM145" s="48">
        <v>56022.14</v>
      </c>
      <c r="AN145" s="238" t="s">
        <v>611</v>
      </c>
      <c r="AO145" s="238">
        <v>68060.98000000001</v>
      </c>
      <c r="AQ145" s="472">
        <f t="shared" si="61"/>
        <v>0</v>
      </c>
      <c r="AS145" t="s">
        <v>611</v>
      </c>
      <c r="AT145" t="s">
        <v>1888</v>
      </c>
      <c r="AU145" s="48">
        <v>52136.78</v>
      </c>
      <c r="AV145" s="48">
        <v>2739.58</v>
      </c>
      <c r="AW145" s="48">
        <v>0</v>
      </c>
      <c r="AX145" s="48">
        <v>0</v>
      </c>
      <c r="AY145" s="48">
        <v>8315.9699999999993</v>
      </c>
      <c r="AZ145" s="48">
        <v>2338.7399999999998</v>
      </c>
      <c r="BA145" s="48">
        <v>0</v>
      </c>
      <c r="BB145" s="48">
        <v>0</v>
      </c>
      <c r="BC145" s="48">
        <v>262.08999999999997</v>
      </c>
      <c r="BD145" s="48">
        <v>2267.8200000000002</v>
      </c>
      <c r="BE145" s="48"/>
      <c r="BF145" s="48">
        <f t="shared" si="56"/>
        <v>68060.98000000001</v>
      </c>
      <c r="BG145" s="48"/>
      <c r="BH145" s="48"/>
      <c r="BI145" s="48" t="str">
        <f t="shared" si="62"/>
        <v>32362</v>
      </c>
      <c r="BJ145" s="48">
        <f t="shared" si="63"/>
        <v>68060.98000000001</v>
      </c>
      <c r="BK145" s="628">
        <f t="shared" si="64"/>
        <v>0</v>
      </c>
    </row>
    <row r="146" spans="1:63">
      <c r="A146" s="196">
        <v>139</v>
      </c>
      <c r="B146" s="73" t="s">
        <v>169</v>
      </c>
      <c r="C146" s="139" t="s">
        <v>170</v>
      </c>
      <c r="D146" s="168">
        <v>558.14999999999964</v>
      </c>
      <c r="E146" s="170">
        <v>19069.79</v>
      </c>
      <c r="F146" s="171">
        <f t="shared" si="54"/>
        <v>19627.940000000002</v>
      </c>
      <c r="G146" s="181">
        <v>17991.97</v>
      </c>
      <c r="H146" s="178">
        <v>1635.9700000000012</v>
      </c>
      <c r="I146" s="170">
        <v>28392.959999999999</v>
      </c>
      <c r="J146" s="171">
        <f t="shared" si="55"/>
        <v>30028.93</v>
      </c>
      <c r="K146" s="202">
        <v>28656.620000000003</v>
      </c>
      <c r="L146" s="171">
        <v>1372.3099999999977</v>
      </c>
      <c r="M146" s="197">
        <v>28563.809999999998</v>
      </c>
      <c r="N146" s="171">
        <f t="shared" si="49"/>
        <v>29936.119999999995</v>
      </c>
      <c r="O146" s="202">
        <v>29960.089999999997</v>
      </c>
      <c r="P146" s="238">
        <v>0</v>
      </c>
      <c r="Q146" s="197">
        <v>32128</v>
      </c>
      <c r="R146" s="171">
        <f t="shared" si="50"/>
        <v>32128</v>
      </c>
      <c r="S146" s="202">
        <v>32350.979999999996</v>
      </c>
      <c r="T146" s="238">
        <v>0</v>
      </c>
      <c r="U146" s="238">
        <v>29636.07</v>
      </c>
      <c r="V146" s="171">
        <f t="shared" si="51"/>
        <v>29636.07</v>
      </c>
      <c r="W146" s="56">
        <v>31410.299999999996</v>
      </c>
      <c r="X146" s="568">
        <f t="shared" si="57"/>
        <v>0</v>
      </c>
      <c r="Y146" s="569">
        <v>29617.879999999997</v>
      </c>
      <c r="Z146" s="171">
        <f t="shared" si="52"/>
        <v>29617.879999999997</v>
      </c>
      <c r="AA146" s="48">
        <v>33365.75</v>
      </c>
      <c r="AB146" s="238">
        <f t="shared" si="58"/>
        <v>0</v>
      </c>
      <c r="AC146" s="238">
        <v>28771.969999999998</v>
      </c>
      <c r="AD146" s="171">
        <f t="shared" si="53"/>
        <v>28771.969999999998</v>
      </c>
      <c r="AE146" s="238"/>
      <c r="AF146" s="238">
        <f t="shared" si="59"/>
        <v>0</v>
      </c>
      <c r="AG146" s="196">
        <v>138</v>
      </c>
      <c r="AH146" s="73" t="s">
        <v>169</v>
      </c>
      <c r="AI146" s="139" t="s">
        <v>170</v>
      </c>
      <c r="AJ146" s="238">
        <f t="shared" si="60"/>
        <v>0</v>
      </c>
      <c r="AK146" s="238"/>
      <c r="AL146" s="358" t="s">
        <v>169</v>
      </c>
      <c r="AM146" s="48">
        <v>33365.75</v>
      </c>
      <c r="AN146" s="238" t="s">
        <v>169</v>
      </c>
      <c r="AO146" s="238">
        <v>28771.969999999998</v>
      </c>
      <c r="AQ146" s="472">
        <f t="shared" si="61"/>
        <v>0</v>
      </c>
      <c r="AS146" t="s">
        <v>169</v>
      </c>
      <c r="AT146" t="s">
        <v>1662</v>
      </c>
      <c r="AU146" s="48">
        <v>22319.01</v>
      </c>
      <c r="AV146" s="48">
        <v>1091.52</v>
      </c>
      <c r="AW146" s="48">
        <v>423.97</v>
      </c>
      <c r="AX146" s="48">
        <v>0</v>
      </c>
      <c r="AY146" s="48">
        <v>2140.86</v>
      </c>
      <c r="AZ146" s="48">
        <v>1247.23</v>
      </c>
      <c r="BA146" s="48">
        <v>780.09</v>
      </c>
      <c r="BB146" s="48">
        <v>468.67</v>
      </c>
      <c r="BC146" s="48">
        <v>69.37</v>
      </c>
      <c r="BD146" s="48">
        <v>231.25</v>
      </c>
      <c r="BE146" s="48"/>
      <c r="BF146" s="48">
        <f t="shared" si="56"/>
        <v>28771.969999999998</v>
      </c>
      <c r="BG146" s="48"/>
      <c r="BH146" s="48"/>
      <c r="BI146" s="48" t="str">
        <f t="shared" si="62"/>
        <v>01158</v>
      </c>
      <c r="BJ146" s="48">
        <f t="shared" si="63"/>
        <v>28771.969999999998</v>
      </c>
      <c r="BK146" s="628">
        <f t="shared" si="64"/>
        <v>0</v>
      </c>
    </row>
    <row r="147" spans="1:63">
      <c r="A147" s="196">
        <v>140</v>
      </c>
      <c r="B147" s="73" t="s">
        <v>233</v>
      </c>
      <c r="C147" s="139" t="s">
        <v>234</v>
      </c>
      <c r="D147" s="168">
        <v>0</v>
      </c>
      <c r="E147" s="170">
        <v>427087.6</v>
      </c>
      <c r="F147" s="171">
        <f t="shared" si="54"/>
        <v>427087.6</v>
      </c>
      <c r="G147" s="181">
        <v>423746.18</v>
      </c>
      <c r="H147" s="178">
        <v>3341.4199999999837</v>
      </c>
      <c r="I147" s="170">
        <v>587125.79</v>
      </c>
      <c r="J147" s="171">
        <f t="shared" si="55"/>
        <v>590467.21</v>
      </c>
      <c r="K147" s="202">
        <v>701968.9</v>
      </c>
      <c r="L147" s="171">
        <v>0</v>
      </c>
      <c r="M147" s="197">
        <v>592234.70000000007</v>
      </c>
      <c r="N147" s="171">
        <f t="shared" si="49"/>
        <v>592234.70000000007</v>
      </c>
      <c r="O147" s="202">
        <v>708443.97</v>
      </c>
      <c r="P147" s="238">
        <v>0</v>
      </c>
      <c r="Q147" s="197">
        <v>646232.68999999994</v>
      </c>
      <c r="R147" s="171">
        <f t="shared" si="50"/>
        <v>646232.68999999994</v>
      </c>
      <c r="S147" s="202">
        <v>765153.14999999991</v>
      </c>
      <c r="T147" s="238">
        <v>0</v>
      </c>
      <c r="U147" s="238">
        <v>664436.69999999995</v>
      </c>
      <c r="V147" s="171">
        <f t="shared" si="51"/>
        <v>664436.69999999995</v>
      </c>
      <c r="W147" s="56">
        <v>769165.02000000014</v>
      </c>
      <c r="X147" s="568">
        <f t="shared" si="57"/>
        <v>0</v>
      </c>
      <c r="Y147" s="569">
        <v>724354.98</v>
      </c>
      <c r="Z147" s="171">
        <f t="shared" si="52"/>
        <v>724354.98</v>
      </c>
      <c r="AA147" s="48">
        <v>828818.3600000001</v>
      </c>
      <c r="AB147" s="238">
        <f t="shared" si="58"/>
        <v>0</v>
      </c>
      <c r="AC147" s="238">
        <v>729729.3600000001</v>
      </c>
      <c r="AD147" s="171">
        <f t="shared" si="53"/>
        <v>729729.3600000001</v>
      </c>
      <c r="AE147" s="238"/>
      <c r="AF147" s="238">
        <f t="shared" si="59"/>
        <v>0</v>
      </c>
      <c r="AG147" s="196">
        <v>139</v>
      </c>
      <c r="AH147" s="73" t="s">
        <v>233</v>
      </c>
      <c r="AI147" s="139" t="s">
        <v>234</v>
      </c>
      <c r="AJ147" s="238">
        <f t="shared" si="60"/>
        <v>0</v>
      </c>
      <c r="AK147" s="238"/>
      <c r="AL147" s="358" t="s">
        <v>233</v>
      </c>
      <c r="AM147" s="48">
        <v>828818.3600000001</v>
      </c>
      <c r="AN147" s="238" t="s">
        <v>233</v>
      </c>
      <c r="AO147" s="238">
        <v>729729.3600000001</v>
      </c>
      <c r="AQ147" s="472">
        <f t="shared" si="61"/>
        <v>0</v>
      </c>
      <c r="AS147" t="s">
        <v>233</v>
      </c>
      <c r="AT147" t="s">
        <v>1696</v>
      </c>
      <c r="AU147" s="48">
        <v>486732.27</v>
      </c>
      <c r="AV147" s="48">
        <v>26549.39</v>
      </c>
      <c r="AW147" s="48">
        <v>4043.84</v>
      </c>
      <c r="AX147" s="48">
        <v>0</v>
      </c>
      <c r="AY147" s="48">
        <v>114528.3</v>
      </c>
      <c r="AZ147" s="48">
        <v>39316.11</v>
      </c>
      <c r="BA147" s="48">
        <v>28195.919999999998</v>
      </c>
      <c r="BB147" s="48">
        <v>13053.47</v>
      </c>
      <c r="BC147" s="48">
        <v>2714.91</v>
      </c>
      <c r="BD147" s="48">
        <v>14595.15</v>
      </c>
      <c r="BE147" s="48"/>
      <c r="BF147" s="48">
        <f t="shared" si="56"/>
        <v>729729.3600000001</v>
      </c>
      <c r="BG147" s="48"/>
      <c r="BH147" s="48"/>
      <c r="BI147" s="48" t="str">
        <f t="shared" si="62"/>
        <v>08122</v>
      </c>
      <c r="BJ147" s="48">
        <f t="shared" si="63"/>
        <v>729729.3600000001</v>
      </c>
      <c r="BK147" s="628">
        <f t="shared" si="64"/>
        <v>0</v>
      </c>
    </row>
    <row r="148" spans="1:63">
      <c r="A148" s="196">
        <v>141</v>
      </c>
      <c r="B148" s="73" t="s">
        <v>628</v>
      </c>
      <c r="C148" s="139" t="s">
        <v>629</v>
      </c>
      <c r="D148" s="168">
        <v>474.21000000000004</v>
      </c>
      <c r="E148" s="170">
        <v>7045.1799999999994</v>
      </c>
      <c r="F148" s="171">
        <f t="shared" si="54"/>
        <v>7519.3899999999994</v>
      </c>
      <c r="G148" s="181">
        <v>7887.34</v>
      </c>
      <c r="H148" s="178">
        <v>0</v>
      </c>
      <c r="I148" s="170">
        <v>10576.33</v>
      </c>
      <c r="J148" s="171">
        <f t="shared" si="55"/>
        <v>10576.33</v>
      </c>
      <c r="K148" s="202">
        <v>9071.15</v>
      </c>
      <c r="L148" s="171">
        <v>1505.1800000000003</v>
      </c>
      <c r="M148" s="197">
        <v>11958.84</v>
      </c>
      <c r="N148" s="171">
        <f t="shared" si="49"/>
        <v>13464.02</v>
      </c>
      <c r="O148" s="202">
        <v>15982.989999999998</v>
      </c>
      <c r="P148" s="238">
        <v>0</v>
      </c>
      <c r="Q148" s="197">
        <v>13010.560000000001</v>
      </c>
      <c r="R148" s="171">
        <f t="shared" si="50"/>
        <v>13010.560000000001</v>
      </c>
      <c r="S148" s="202">
        <v>14879.37</v>
      </c>
      <c r="T148" s="238">
        <v>0</v>
      </c>
      <c r="U148" s="238">
        <v>12298.34</v>
      </c>
      <c r="V148" s="171">
        <f t="shared" si="51"/>
        <v>12298.34</v>
      </c>
      <c r="W148" s="56">
        <v>13097.61</v>
      </c>
      <c r="X148" s="568">
        <f t="shared" si="57"/>
        <v>0</v>
      </c>
      <c r="Y148" s="569">
        <v>13376.74</v>
      </c>
      <c r="Z148" s="171">
        <f t="shared" si="52"/>
        <v>13376.74</v>
      </c>
      <c r="AA148" s="48">
        <v>15303.57</v>
      </c>
      <c r="AB148" s="238">
        <f t="shared" si="58"/>
        <v>0</v>
      </c>
      <c r="AC148" s="238">
        <v>13282.960000000001</v>
      </c>
      <c r="AD148" s="171">
        <f t="shared" si="53"/>
        <v>13282.960000000001</v>
      </c>
      <c r="AE148" s="238"/>
      <c r="AF148" s="238">
        <f t="shared" si="59"/>
        <v>0</v>
      </c>
      <c r="AG148" s="196">
        <v>140</v>
      </c>
      <c r="AH148" s="73" t="s">
        <v>628</v>
      </c>
      <c r="AI148" s="139" t="s">
        <v>629</v>
      </c>
      <c r="AJ148" s="238">
        <f t="shared" si="60"/>
        <v>0</v>
      </c>
      <c r="AK148" s="238"/>
      <c r="AL148" s="358" t="s">
        <v>628</v>
      </c>
      <c r="AM148" s="48">
        <v>15303.57</v>
      </c>
      <c r="AN148" s="238" t="s">
        <v>628</v>
      </c>
      <c r="AO148" s="238">
        <v>13282.960000000001</v>
      </c>
      <c r="AQ148" s="472">
        <f t="shared" si="61"/>
        <v>0</v>
      </c>
      <c r="AS148" t="s">
        <v>628</v>
      </c>
      <c r="AT148" t="s">
        <v>1897</v>
      </c>
      <c r="AU148" s="48">
        <v>9182.2900000000009</v>
      </c>
      <c r="AV148" s="48">
        <v>0</v>
      </c>
      <c r="AW148" s="48">
        <v>0</v>
      </c>
      <c r="AX148" s="48">
        <v>0</v>
      </c>
      <c r="AY148" s="48">
        <v>2187.4499999999998</v>
      </c>
      <c r="AZ148" s="48">
        <v>1342.8</v>
      </c>
      <c r="BA148" s="48">
        <v>450.17</v>
      </c>
      <c r="BB148" s="48">
        <v>0</v>
      </c>
      <c r="BC148" s="48">
        <v>120.25</v>
      </c>
      <c r="BD148" s="48">
        <v>0</v>
      </c>
      <c r="BE148" s="48"/>
      <c r="BF148" s="48">
        <f t="shared" si="56"/>
        <v>13282.960000000001</v>
      </c>
      <c r="BG148" s="48"/>
      <c r="BH148" s="48"/>
      <c r="BI148" s="48" t="str">
        <f t="shared" si="62"/>
        <v>33183</v>
      </c>
      <c r="BJ148" s="48">
        <f t="shared" si="63"/>
        <v>13282.960000000001</v>
      </c>
      <c r="BK148" s="628">
        <f t="shared" si="64"/>
        <v>0</v>
      </c>
    </row>
    <row r="149" spans="1:63">
      <c r="A149" s="196">
        <v>142</v>
      </c>
      <c r="B149" s="73" t="s">
        <v>539</v>
      </c>
      <c r="C149" s="139" t="s">
        <v>540</v>
      </c>
      <c r="D149" s="168">
        <v>3747.8200000000015</v>
      </c>
      <c r="E149" s="170">
        <v>24192.289999999997</v>
      </c>
      <c r="F149" s="171">
        <f t="shared" si="54"/>
        <v>27940.11</v>
      </c>
      <c r="G149" s="181">
        <v>23542.07</v>
      </c>
      <c r="H149" s="178">
        <v>4398.0400000000009</v>
      </c>
      <c r="I149" s="170">
        <v>33330.840000000004</v>
      </c>
      <c r="J149" s="171">
        <f t="shared" si="55"/>
        <v>37728.880000000005</v>
      </c>
      <c r="K149" s="202"/>
      <c r="L149" s="171">
        <v>37728.880000000005</v>
      </c>
      <c r="M149" s="197">
        <v>34824.949999999997</v>
      </c>
      <c r="N149" s="171">
        <f t="shared" si="49"/>
        <v>72553.83</v>
      </c>
      <c r="O149" s="202">
        <v>38336.51</v>
      </c>
      <c r="P149" s="238">
        <v>34217.32</v>
      </c>
      <c r="Q149" s="197">
        <v>36294.899999999994</v>
      </c>
      <c r="R149" s="171">
        <f t="shared" si="50"/>
        <v>70512.22</v>
      </c>
      <c r="S149" s="202">
        <v>36025.85</v>
      </c>
      <c r="T149" s="238">
        <v>34486.370000000003</v>
      </c>
      <c r="U149" s="238">
        <v>36481.96</v>
      </c>
      <c r="V149" s="171">
        <f t="shared" si="51"/>
        <v>70968.33</v>
      </c>
      <c r="W149" s="56">
        <v>44440.650000000009</v>
      </c>
      <c r="X149" s="568">
        <f t="shared" si="57"/>
        <v>26527.679999999993</v>
      </c>
      <c r="Y149" s="569">
        <v>37264.579999999994</v>
      </c>
      <c r="Z149" s="171">
        <f t="shared" si="52"/>
        <v>63792.259999999987</v>
      </c>
      <c r="AA149" s="48">
        <v>42978.83</v>
      </c>
      <c r="AB149" s="238">
        <f t="shared" si="58"/>
        <v>20813.429999999986</v>
      </c>
      <c r="AC149" s="238">
        <v>31753.200000000001</v>
      </c>
      <c r="AD149" s="171">
        <f t="shared" si="53"/>
        <v>52566.62999999999</v>
      </c>
      <c r="AE149" s="238"/>
      <c r="AF149" s="238">
        <f t="shared" si="59"/>
        <v>0</v>
      </c>
      <c r="AG149" s="196">
        <v>141</v>
      </c>
      <c r="AH149" s="73" t="s">
        <v>539</v>
      </c>
      <c r="AI149" s="139" t="s">
        <v>540</v>
      </c>
      <c r="AJ149" s="238">
        <f t="shared" si="60"/>
        <v>0</v>
      </c>
      <c r="AK149" s="238"/>
      <c r="AL149" s="358" t="s">
        <v>539</v>
      </c>
      <c r="AM149" s="48">
        <v>42978.83</v>
      </c>
      <c r="AN149" s="238" t="s">
        <v>539</v>
      </c>
      <c r="AO149" s="238">
        <v>31753.200000000001</v>
      </c>
      <c r="AQ149" s="472">
        <f t="shared" si="61"/>
        <v>0</v>
      </c>
      <c r="AS149" t="s">
        <v>539</v>
      </c>
      <c r="AT149" t="s">
        <v>2491</v>
      </c>
      <c r="AU149" s="48">
        <v>27760</v>
      </c>
      <c r="AV149" s="48">
        <v>568.08000000000004</v>
      </c>
      <c r="AW149" s="48">
        <v>0</v>
      </c>
      <c r="AX149" s="48">
        <v>0</v>
      </c>
      <c r="AY149" s="48">
        <v>1019.84</v>
      </c>
      <c r="AZ149" s="48">
        <v>1312.28</v>
      </c>
      <c r="BA149" s="48">
        <v>998.03</v>
      </c>
      <c r="BB149" s="48">
        <v>0</v>
      </c>
      <c r="BC149" s="48">
        <v>94.97</v>
      </c>
      <c r="BD149" s="48">
        <v>0</v>
      </c>
      <c r="BE149" s="48"/>
      <c r="BF149" s="48">
        <f t="shared" si="56"/>
        <v>31753.200000000001</v>
      </c>
      <c r="BG149" s="48"/>
      <c r="BH149" s="48"/>
      <c r="BI149" s="48" t="str">
        <f t="shared" si="62"/>
        <v>28144</v>
      </c>
      <c r="BJ149" s="48">
        <f t="shared" si="63"/>
        <v>31753.200000000001</v>
      </c>
      <c r="BK149" s="628">
        <f t="shared" si="64"/>
        <v>0</v>
      </c>
    </row>
    <row r="150" spans="1:63">
      <c r="A150" s="196">
        <v>143</v>
      </c>
      <c r="B150" s="174" t="s">
        <v>1577</v>
      </c>
      <c r="C150" s="73" t="s">
        <v>1591</v>
      </c>
      <c r="D150" s="168"/>
      <c r="E150" s="170"/>
      <c r="F150" s="171">
        <f t="shared" si="54"/>
        <v>0</v>
      </c>
      <c r="G150" s="181"/>
      <c r="H150" s="179">
        <v>0</v>
      </c>
      <c r="I150" s="170">
        <v>13679.67</v>
      </c>
      <c r="J150" s="171">
        <f t="shared" si="55"/>
        <v>13679.67</v>
      </c>
      <c r="K150" s="202">
        <v>13927.7</v>
      </c>
      <c r="L150" s="171">
        <v>0</v>
      </c>
      <c r="M150" s="197">
        <v>13945.5</v>
      </c>
      <c r="N150" s="171">
        <f t="shared" si="49"/>
        <v>13945.5</v>
      </c>
      <c r="O150" s="202">
        <v>14015.420000000002</v>
      </c>
      <c r="P150" s="238">
        <v>0</v>
      </c>
      <c r="Q150" s="197">
        <v>14609.08</v>
      </c>
      <c r="R150" s="171">
        <f t="shared" si="50"/>
        <v>14609.08</v>
      </c>
      <c r="S150" s="202">
        <v>14660.31</v>
      </c>
      <c r="T150" s="238">
        <v>0</v>
      </c>
      <c r="U150" s="238">
        <v>14090.960000000001</v>
      </c>
      <c r="V150" s="171">
        <f t="shared" si="51"/>
        <v>14090.960000000001</v>
      </c>
      <c r="W150" s="56">
        <v>14257.45</v>
      </c>
      <c r="X150" s="568">
        <f t="shared" si="57"/>
        <v>0</v>
      </c>
      <c r="Y150" s="569">
        <v>14417.619999999999</v>
      </c>
      <c r="Z150" s="171">
        <f t="shared" si="52"/>
        <v>14417.619999999999</v>
      </c>
      <c r="AA150" s="48">
        <v>14807.219999999998</v>
      </c>
      <c r="AB150" s="238">
        <f t="shared" si="58"/>
        <v>0</v>
      </c>
      <c r="AC150" s="238">
        <v>14470.2</v>
      </c>
      <c r="AD150" s="171">
        <f t="shared" si="53"/>
        <v>14470.2</v>
      </c>
      <c r="AE150" s="238"/>
      <c r="AF150" s="238">
        <f t="shared" si="59"/>
        <v>0</v>
      </c>
      <c r="AG150" s="196">
        <v>142</v>
      </c>
      <c r="AH150" s="174" t="s">
        <v>1577</v>
      </c>
      <c r="AI150" s="73" t="s">
        <v>1591</v>
      </c>
      <c r="AJ150" s="238">
        <f t="shared" si="60"/>
        <v>0</v>
      </c>
      <c r="AK150" s="238"/>
      <c r="AL150" s="358" t="s">
        <v>1577</v>
      </c>
      <c r="AM150" s="48">
        <v>14807.219999999998</v>
      </c>
      <c r="AN150" s="238" t="s">
        <v>1577</v>
      </c>
      <c r="AO150" s="238">
        <v>14470.2</v>
      </c>
      <c r="AQ150" s="472">
        <f t="shared" si="61"/>
        <v>0</v>
      </c>
      <c r="AS150" t="s">
        <v>1577</v>
      </c>
      <c r="AT150" t="s">
        <v>1968</v>
      </c>
      <c r="AU150" s="48">
        <v>13875.19</v>
      </c>
      <c r="AV150" s="48">
        <v>0</v>
      </c>
      <c r="AW150" s="48">
        <v>0</v>
      </c>
      <c r="AX150" s="48">
        <v>0</v>
      </c>
      <c r="AY150" s="48">
        <v>220.39</v>
      </c>
      <c r="AZ150" s="48">
        <v>245.12</v>
      </c>
      <c r="BA150" s="48">
        <v>129.5</v>
      </c>
      <c r="BB150" s="48">
        <v>0</v>
      </c>
      <c r="BC150" s="48">
        <v>0</v>
      </c>
      <c r="BD150" s="48">
        <v>0</v>
      </c>
      <c r="BE150" s="48"/>
      <c r="BF150" s="48">
        <f t="shared" si="56"/>
        <v>14470.2</v>
      </c>
      <c r="BG150" s="48"/>
      <c r="BH150" s="48"/>
      <c r="BI150" s="48" t="str">
        <f t="shared" si="62"/>
        <v>32903</v>
      </c>
      <c r="BJ150" s="48">
        <f t="shared" si="63"/>
        <v>14470.2</v>
      </c>
      <c r="BK150" s="628">
        <f t="shared" si="64"/>
        <v>0</v>
      </c>
    </row>
    <row r="151" spans="1:63">
      <c r="A151" s="196">
        <v>144</v>
      </c>
      <c r="B151" s="73" t="s">
        <v>1178</v>
      </c>
      <c r="C151" t="s">
        <v>1190</v>
      </c>
      <c r="D151" s="168">
        <v>15296.679999999998</v>
      </c>
      <c r="E151" s="170">
        <v>35418.61</v>
      </c>
      <c r="F151" s="171">
        <f t="shared" si="54"/>
        <v>50715.29</v>
      </c>
      <c r="G151" s="181"/>
      <c r="H151" s="178">
        <v>50715.29</v>
      </c>
      <c r="I151" s="170">
        <v>50970.239999999998</v>
      </c>
      <c r="J151" s="171">
        <f t="shared" si="55"/>
        <v>101685.53</v>
      </c>
      <c r="K151" s="202"/>
      <c r="L151" s="171">
        <v>101685.53</v>
      </c>
      <c r="M151" s="197">
        <v>51056.790000000008</v>
      </c>
      <c r="N151" s="171">
        <f t="shared" si="49"/>
        <v>152742.32</v>
      </c>
      <c r="O151" s="202">
        <v>42646.380000000005</v>
      </c>
      <c r="P151" s="238">
        <v>110095.94</v>
      </c>
      <c r="Q151" s="197">
        <v>54646.81</v>
      </c>
      <c r="R151" s="171">
        <f t="shared" si="50"/>
        <v>164742.75</v>
      </c>
      <c r="S151" s="202">
        <v>15629.11</v>
      </c>
      <c r="T151" s="238">
        <v>149113.64000000001</v>
      </c>
      <c r="U151" s="238">
        <v>53903.25</v>
      </c>
      <c r="V151" s="171">
        <f t="shared" si="51"/>
        <v>203016.89</v>
      </c>
      <c r="W151" s="56"/>
      <c r="X151" s="568">
        <f t="shared" si="57"/>
        <v>203016.89</v>
      </c>
      <c r="Y151" s="569">
        <v>56814.289999999986</v>
      </c>
      <c r="Z151" s="171">
        <f t="shared" si="52"/>
        <v>259831.18</v>
      </c>
      <c r="AA151" s="48"/>
      <c r="AB151" s="238">
        <f t="shared" si="58"/>
        <v>259831.18</v>
      </c>
      <c r="AC151" s="238">
        <v>62700.689999999995</v>
      </c>
      <c r="AD151" s="171">
        <f t="shared" si="53"/>
        <v>322531.87</v>
      </c>
      <c r="AE151" s="238"/>
      <c r="AF151" s="238">
        <f t="shared" si="59"/>
        <v>0</v>
      </c>
      <c r="AG151" s="196">
        <v>143</v>
      </c>
      <c r="AH151" s="73" t="s">
        <v>1178</v>
      </c>
      <c r="AI151" t="s">
        <v>1190</v>
      </c>
      <c r="AJ151" s="238">
        <f t="shared" si="60"/>
        <v>0</v>
      </c>
      <c r="AK151" s="238"/>
      <c r="AL151" s="73" t="s">
        <v>1178</v>
      </c>
      <c r="AM151" s="48"/>
      <c r="AN151" s="238" t="s">
        <v>1178</v>
      </c>
      <c r="AO151" s="238">
        <v>62700.689999999995</v>
      </c>
      <c r="AQ151" s="472">
        <f t="shared" si="61"/>
        <v>0</v>
      </c>
      <c r="AS151" t="s">
        <v>1178</v>
      </c>
      <c r="AT151" t="s">
        <v>1928</v>
      </c>
      <c r="AU151" s="48">
        <v>38748.25</v>
      </c>
      <c r="AV151" s="48">
        <v>944.56</v>
      </c>
      <c r="AW151" s="48">
        <v>0</v>
      </c>
      <c r="AX151" s="48">
        <v>0</v>
      </c>
      <c r="AY151" s="48">
        <v>16891.12</v>
      </c>
      <c r="AZ151" s="48">
        <v>4093.64</v>
      </c>
      <c r="BA151" s="48">
        <v>2023.12</v>
      </c>
      <c r="BB151" s="48">
        <v>0</v>
      </c>
      <c r="BC151" s="48">
        <v>0</v>
      </c>
      <c r="BD151" s="48">
        <v>0</v>
      </c>
      <c r="BE151" s="48"/>
      <c r="BF151" s="48">
        <f t="shared" si="56"/>
        <v>62700.689999999995</v>
      </c>
      <c r="BG151" s="48"/>
      <c r="BH151" s="48"/>
      <c r="BI151" s="48" t="str">
        <f t="shared" si="62"/>
        <v>37903</v>
      </c>
      <c r="BJ151" s="48">
        <f t="shared" si="63"/>
        <v>62700.689999999995</v>
      </c>
      <c r="BK151" s="628">
        <f t="shared" si="64"/>
        <v>0</v>
      </c>
    </row>
    <row r="152" spans="1:63">
      <c r="A152" s="196">
        <v>145</v>
      </c>
      <c r="B152" s="73" t="s">
        <v>414</v>
      </c>
      <c r="C152" s="139" t="s">
        <v>415</v>
      </c>
      <c r="D152" s="168">
        <v>0</v>
      </c>
      <c r="E152" s="170">
        <v>19155.219999999998</v>
      </c>
      <c r="F152" s="171">
        <f t="shared" si="54"/>
        <v>19155.219999999998</v>
      </c>
      <c r="G152" s="181">
        <v>3076.96</v>
      </c>
      <c r="H152" s="178">
        <v>16078.259999999998</v>
      </c>
      <c r="I152" s="170">
        <v>26581.56</v>
      </c>
      <c r="J152" s="171">
        <f t="shared" si="55"/>
        <v>42659.82</v>
      </c>
      <c r="K152" s="202">
        <v>31946.720000000001</v>
      </c>
      <c r="L152" s="171">
        <v>10713.099999999999</v>
      </c>
      <c r="M152" s="197">
        <v>26165.480000000003</v>
      </c>
      <c r="N152" s="171">
        <f t="shared" ref="N152:N183" si="65">+L152+M152</f>
        <v>36878.58</v>
      </c>
      <c r="O152" s="202">
        <v>21244.149999999998</v>
      </c>
      <c r="P152" s="238">
        <v>15634.430000000004</v>
      </c>
      <c r="Q152" s="197">
        <v>28452.86</v>
      </c>
      <c r="R152" s="171">
        <f t="shared" ref="R152:R183" si="66">+P152+Q152</f>
        <v>44087.290000000008</v>
      </c>
      <c r="S152" s="202">
        <v>0</v>
      </c>
      <c r="T152" s="238">
        <v>44087.290000000008</v>
      </c>
      <c r="U152" s="238">
        <v>28158.71</v>
      </c>
      <c r="V152" s="171">
        <f t="shared" ref="V152:V183" si="67">+T152+U152</f>
        <v>72246</v>
      </c>
      <c r="W152" s="56">
        <v>12041.2</v>
      </c>
      <c r="X152" s="568">
        <f t="shared" si="57"/>
        <v>60204.800000000003</v>
      </c>
      <c r="Y152" s="569">
        <v>29562.27</v>
      </c>
      <c r="Z152" s="171">
        <f t="shared" ref="Z152:Z183" si="68">+X152+Y152</f>
        <v>89767.07</v>
      </c>
      <c r="AA152" s="48">
        <v>17300.829999999998</v>
      </c>
      <c r="AB152" s="238">
        <f t="shared" si="58"/>
        <v>72466.240000000005</v>
      </c>
      <c r="AC152" s="238">
        <v>28903.56</v>
      </c>
      <c r="AD152" s="171">
        <f t="shared" ref="AD152:AD183" si="69">+AB152+AC152</f>
        <v>101369.8</v>
      </c>
      <c r="AE152" s="238"/>
      <c r="AF152" s="238">
        <f t="shared" si="59"/>
        <v>0</v>
      </c>
      <c r="AG152" s="196">
        <v>144</v>
      </c>
      <c r="AH152" s="73" t="s">
        <v>414</v>
      </c>
      <c r="AI152" s="139" t="s">
        <v>415</v>
      </c>
      <c r="AJ152" s="238">
        <f t="shared" si="60"/>
        <v>0</v>
      </c>
      <c r="AK152" s="238"/>
      <c r="AL152" s="358" t="s">
        <v>414</v>
      </c>
      <c r="AM152" s="48">
        <v>17300.829999999998</v>
      </c>
      <c r="AN152" s="238" t="s">
        <v>414</v>
      </c>
      <c r="AO152" s="238">
        <v>28903.56</v>
      </c>
      <c r="AQ152" s="472">
        <f t="shared" si="61"/>
        <v>0</v>
      </c>
      <c r="AS152" t="s">
        <v>414</v>
      </c>
      <c r="AT152" t="s">
        <v>1790</v>
      </c>
      <c r="AU152" s="48">
        <v>25675.26</v>
      </c>
      <c r="AV152" s="48">
        <v>0</v>
      </c>
      <c r="AW152" s="48">
        <v>0</v>
      </c>
      <c r="AX152" s="48">
        <v>0</v>
      </c>
      <c r="AY152" s="48">
        <v>0</v>
      </c>
      <c r="AZ152" s="48">
        <v>1322.77</v>
      </c>
      <c r="BA152" s="48">
        <v>849.47</v>
      </c>
      <c r="BB152" s="48">
        <v>0</v>
      </c>
      <c r="BC152" s="48">
        <v>78.63</v>
      </c>
      <c r="BD152" s="48">
        <v>977.43</v>
      </c>
      <c r="BE152" s="48"/>
      <c r="BF152" s="48">
        <f t="shared" si="56"/>
        <v>28903.56</v>
      </c>
      <c r="BG152" s="48"/>
      <c r="BH152" s="48"/>
      <c r="BI152" s="48" t="str">
        <f t="shared" si="62"/>
        <v>20406</v>
      </c>
      <c r="BJ152" s="48">
        <f t="shared" si="63"/>
        <v>28903.56</v>
      </c>
      <c r="BK152" s="628">
        <f t="shared" si="64"/>
        <v>0</v>
      </c>
    </row>
    <row r="153" spans="1:63">
      <c r="A153" s="196">
        <v>146</v>
      </c>
      <c r="B153" s="73" t="s">
        <v>677</v>
      </c>
      <c r="C153" s="139" t="s">
        <v>678</v>
      </c>
      <c r="D153" s="168">
        <v>0</v>
      </c>
      <c r="E153" s="170">
        <v>212590.22999999998</v>
      </c>
      <c r="F153" s="171">
        <f t="shared" ref="F153:F184" si="70">+D153+E153</f>
        <v>212590.22999999998</v>
      </c>
      <c r="G153" s="181">
        <v>205750.32</v>
      </c>
      <c r="H153" s="178">
        <v>6839.9099999999744</v>
      </c>
      <c r="I153" s="170">
        <v>278932.16000000003</v>
      </c>
      <c r="J153" s="171">
        <f t="shared" ref="J153:J184" si="71">+H153+I153</f>
        <v>285772.07</v>
      </c>
      <c r="K153" s="202">
        <v>349748.5799999999</v>
      </c>
      <c r="L153" s="171">
        <v>0</v>
      </c>
      <c r="M153" s="197">
        <v>290188.18000000005</v>
      </c>
      <c r="N153" s="171">
        <f t="shared" si="65"/>
        <v>290188.18000000005</v>
      </c>
      <c r="O153" s="202">
        <v>267698</v>
      </c>
      <c r="P153" s="238">
        <v>22490.180000000051</v>
      </c>
      <c r="Q153" s="197">
        <v>326496.51</v>
      </c>
      <c r="R153" s="171">
        <f t="shared" si="66"/>
        <v>348986.69000000006</v>
      </c>
      <c r="S153" s="202">
        <v>261862</v>
      </c>
      <c r="T153" s="238">
        <v>87124.690000000061</v>
      </c>
      <c r="U153" s="238">
        <v>359121.2</v>
      </c>
      <c r="V153" s="171">
        <f t="shared" si="67"/>
        <v>446245.89000000007</v>
      </c>
      <c r="W153" s="56">
        <v>386471.66</v>
      </c>
      <c r="X153" s="568">
        <f t="shared" si="57"/>
        <v>59774.230000000098</v>
      </c>
      <c r="Y153" s="569">
        <v>384174.23</v>
      </c>
      <c r="Z153" s="171">
        <f t="shared" si="68"/>
        <v>443948.46000000008</v>
      </c>
      <c r="AA153" s="48">
        <v>366771.80000000005</v>
      </c>
      <c r="AB153" s="238">
        <f t="shared" si="58"/>
        <v>77176.660000000033</v>
      </c>
      <c r="AC153" s="238">
        <v>377880.28</v>
      </c>
      <c r="AD153" s="171">
        <f t="shared" si="69"/>
        <v>455056.94000000006</v>
      </c>
      <c r="AE153" s="238"/>
      <c r="AF153" s="238">
        <f t="shared" si="59"/>
        <v>0</v>
      </c>
      <c r="AG153" s="196">
        <v>145</v>
      </c>
      <c r="AH153" s="73" t="s">
        <v>677</v>
      </c>
      <c r="AI153" s="139" t="s">
        <v>678</v>
      </c>
      <c r="AJ153" s="238">
        <f t="shared" si="60"/>
        <v>0</v>
      </c>
      <c r="AK153" s="238"/>
      <c r="AL153" s="358" t="s">
        <v>677</v>
      </c>
      <c r="AM153" s="48">
        <v>366771.80000000005</v>
      </c>
      <c r="AN153" s="238" t="s">
        <v>677</v>
      </c>
      <c r="AO153" s="238">
        <v>377880.28</v>
      </c>
      <c r="AQ153" s="472">
        <f t="shared" si="61"/>
        <v>0</v>
      </c>
      <c r="AS153" t="s">
        <v>677</v>
      </c>
      <c r="AT153" t="s">
        <v>1924</v>
      </c>
      <c r="AU153" s="48">
        <v>267272.58</v>
      </c>
      <c r="AV153" s="48">
        <v>15479.78</v>
      </c>
      <c r="AW153" s="48">
        <v>1707.69</v>
      </c>
      <c r="AX153" s="48">
        <v>0</v>
      </c>
      <c r="AY153" s="48">
        <v>55179.23</v>
      </c>
      <c r="AZ153" s="48">
        <v>16015.05</v>
      </c>
      <c r="BA153" s="48">
        <v>0</v>
      </c>
      <c r="BB153" s="48">
        <v>11643.07</v>
      </c>
      <c r="BC153" s="48">
        <v>1714.6</v>
      </c>
      <c r="BD153" s="48">
        <v>8868.2800000000007</v>
      </c>
      <c r="BE153" s="48"/>
      <c r="BF153" s="48">
        <f t="shared" si="56"/>
        <v>377880.28</v>
      </c>
      <c r="BG153" s="48"/>
      <c r="BH153" s="48"/>
      <c r="BI153" s="48" t="str">
        <f t="shared" si="62"/>
        <v>37504</v>
      </c>
      <c r="BJ153" s="48">
        <f t="shared" si="63"/>
        <v>377880.28</v>
      </c>
      <c r="BK153" s="628">
        <f t="shared" si="64"/>
        <v>0</v>
      </c>
    </row>
    <row r="154" spans="1:63">
      <c r="A154" s="196">
        <v>147</v>
      </c>
      <c r="B154" s="73" t="s">
        <v>720</v>
      </c>
      <c r="C154" s="139" t="s">
        <v>721</v>
      </c>
      <c r="D154" s="168">
        <v>0</v>
      </c>
      <c r="E154" s="170">
        <v>61154.79</v>
      </c>
      <c r="F154" s="171">
        <f t="shared" si="70"/>
        <v>61154.79</v>
      </c>
      <c r="G154" s="181">
        <v>61306.21</v>
      </c>
      <c r="H154" s="178">
        <v>0</v>
      </c>
      <c r="I154" s="170">
        <v>91882.060000000012</v>
      </c>
      <c r="J154" s="171">
        <f t="shared" si="71"/>
        <v>91882.060000000012</v>
      </c>
      <c r="K154" s="202">
        <v>69472.259999999995</v>
      </c>
      <c r="L154" s="171">
        <v>22409.800000000017</v>
      </c>
      <c r="M154" s="197">
        <v>88785.83</v>
      </c>
      <c r="N154" s="171">
        <f t="shared" si="65"/>
        <v>111195.63000000002</v>
      </c>
      <c r="O154" s="202"/>
      <c r="P154" s="238">
        <v>111195.63000000002</v>
      </c>
      <c r="Q154" s="197">
        <v>91870.43</v>
      </c>
      <c r="R154" s="171">
        <f t="shared" si="66"/>
        <v>203066.06</v>
      </c>
      <c r="S154" s="202">
        <v>67935.7</v>
      </c>
      <c r="T154" s="238">
        <v>135130.35999999999</v>
      </c>
      <c r="U154" s="238">
        <v>83690.959999999992</v>
      </c>
      <c r="V154" s="171">
        <f t="shared" si="67"/>
        <v>218821.31999999998</v>
      </c>
      <c r="W154" s="56">
        <v>59160.23000000001</v>
      </c>
      <c r="X154" s="568">
        <f t="shared" si="57"/>
        <v>159661.08999999997</v>
      </c>
      <c r="Y154" s="569">
        <v>89965.169999999984</v>
      </c>
      <c r="Z154" s="171">
        <f t="shared" si="68"/>
        <v>249626.25999999995</v>
      </c>
      <c r="AA154" s="48">
        <v>41342.25</v>
      </c>
      <c r="AB154" s="238">
        <f t="shared" si="58"/>
        <v>208284.00999999995</v>
      </c>
      <c r="AC154" s="238">
        <v>76920.959999999992</v>
      </c>
      <c r="AD154" s="171">
        <f t="shared" si="69"/>
        <v>285204.96999999997</v>
      </c>
      <c r="AE154" s="238"/>
      <c r="AF154" s="238">
        <f t="shared" si="59"/>
        <v>0</v>
      </c>
      <c r="AG154" s="196">
        <v>146</v>
      </c>
      <c r="AH154" s="73" t="s">
        <v>720</v>
      </c>
      <c r="AI154" s="139" t="s">
        <v>721</v>
      </c>
      <c r="AJ154" s="238">
        <f t="shared" si="60"/>
        <v>0</v>
      </c>
      <c r="AK154" s="238"/>
      <c r="AL154" s="358" t="s">
        <v>720</v>
      </c>
      <c r="AM154" s="48">
        <v>41342.25</v>
      </c>
      <c r="AN154" s="238" t="s">
        <v>720</v>
      </c>
      <c r="AO154" s="238">
        <v>76920.959999999992</v>
      </c>
      <c r="AQ154" s="472">
        <f t="shared" si="61"/>
        <v>0</v>
      </c>
      <c r="AS154" t="s">
        <v>720</v>
      </c>
      <c r="AT154" t="s">
        <v>1947</v>
      </c>
      <c r="AU154" s="48">
        <v>51444.57</v>
      </c>
      <c r="AV154" s="48">
        <v>5127.6499999999996</v>
      </c>
      <c r="AW154" s="48">
        <v>1254.94</v>
      </c>
      <c r="AX154" s="48">
        <v>0</v>
      </c>
      <c r="AY154" s="48">
        <v>0</v>
      </c>
      <c r="AZ154" s="48">
        <v>7185.81</v>
      </c>
      <c r="BA154" s="48">
        <v>3316.17</v>
      </c>
      <c r="BB154" s="48">
        <v>6555.26</v>
      </c>
      <c r="BC154" s="48">
        <v>0</v>
      </c>
      <c r="BD154" s="48">
        <v>2036.56</v>
      </c>
      <c r="BE154" s="48"/>
      <c r="BF154" s="48">
        <f t="shared" si="56"/>
        <v>76920.959999999992</v>
      </c>
      <c r="BG154" s="48"/>
      <c r="BH154" s="48"/>
      <c r="BI154" s="48" t="str">
        <f t="shared" si="62"/>
        <v>39120</v>
      </c>
      <c r="BJ154" s="48">
        <f t="shared" si="63"/>
        <v>76920.959999999992</v>
      </c>
      <c r="BK154" s="628">
        <f t="shared" si="64"/>
        <v>0</v>
      </c>
    </row>
    <row r="155" spans="1:63">
      <c r="A155" s="196">
        <v>148</v>
      </c>
      <c r="B155" s="73" t="s">
        <v>253</v>
      </c>
      <c r="C155" s="139" t="s">
        <v>254</v>
      </c>
      <c r="D155" s="168">
        <v>2717.8199999999997</v>
      </c>
      <c r="E155" s="170">
        <v>13049.989999999998</v>
      </c>
      <c r="F155" s="171">
        <f t="shared" si="70"/>
        <v>15767.809999999998</v>
      </c>
      <c r="G155" s="181">
        <v>10690.06</v>
      </c>
      <c r="H155" s="178">
        <v>5077.7499999999982</v>
      </c>
      <c r="I155" s="170">
        <v>19659.199999999997</v>
      </c>
      <c r="J155" s="171">
        <f t="shared" si="71"/>
        <v>24736.949999999997</v>
      </c>
      <c r="K155" s="202">
        <v>16962.48</v>
      </c>
      <c r="L155" s="171">
        <v>7774.4699999999975</v>
      </c>
      <c r="M155" s="197">
        <v>19822.45</v>
      </c>
      <c r="N155" s="171">
        <f t="shared" si="65"/>
        <v>27596.92</v>
      </c>
      <c r="O155" s="202">
        <v>15884.550000000001</v>
      </c>
      <c r="P155" s="238">
        <v>11712.369999999997</v>
      </c>
      <c r="Q155" s="197">
        <v>21844.89</v>
      </c>
      <c r="R155" s="171">
        <f t="shared" si="66"/>
        <v>33557.259999999995</v>
      </c>
      <c r="S155" s="202">
        <v>16147.12</v>
      </c>
      <c r="T155" s="238">
        <v>17410.139999999992</v>
      </c>
      <c r="U155" s="238">
        <v>20982.25</v>
      </c>
      <c r="V155" s="171">
        <f t="shared" si="67"/>
        <v>38392.389999999992</v>
      </c>
      <c r="W155" s="56">
        <v>17677.78</v>
      </c>
      <c r="X155" s="568">
        <f t="shared" si="57"/>
        <v>20714.609999999993</v>
      </c>
      <c r="Y155" s="569">
        <v>21791.84</v>
      </c>
      <c r="Z155" s="171">
        <f t="shared" si="68"/>
        <v>42506.45</v>
      </c>
      <c r="AA155" s="48">
        <v>16759.82</v>
      </c>
      <c r="AB155" s="238">
        <f t="shared" si="58"/>
        <v>25746.629999999997</v>
      </c>
      <c r="AC155" s="238">
        <v>22898.679999999997</v>
      </c>
      <c r="AD155" s="171">
        <f t="shared" si="69"/>
        <v>48645.31</v>
      </c>
      <c r="AE155" s="238"/>
      <c r="AF155" s="238">
        <f t="shared" si="59"/>
        <v>0</v>
      </c>
      <c r="AG155" s="196">
        <v>147</v>
      </c>
      <c r="AH155" s="73" t="s">
        <v>253</v>
      </c>
      <c r="AI155" s="139" t="s">
        <v>254</v>
      </c>
      <c r="AJ155" s="238">
        <f t="shared" si="60"/>
        <v>0</v>
      </c>
      <c r="AK155" s="238"/>
      <c r="AL155" s="358" t="s">
        <v>253</v>
      </c>
      <c r="AM155" s="48">
        <v>16759.82</v>
      </c>
      <c r="AN155" s="238" t="s">
        <v>253</v>
      </c>
      <c r="AO155" s="238">
        <v>22898.679999999997</v>
      </c>
      <c r="AQ155" s="472">
        <f t="shared" si="61"/>
        <v>0</v>
      </c>
      <c r="AS155" t="s">
        <v>253</v>
      </c>
      <c r="AT155" t="s">
        <v>1706</v>
      </c>
      <c r="AU155" s="48">
        <v>20501.349999999999</v>
      </c>
      <c r="AV155" s="48">
        <v>753.89</v>
      </c>
      <c r="AW155" s="48">
        <v>205.05</v>
      </c>
      <c r="AX155" s="48">
        <v>0</v>
      </c>
      <c r="AY155" s="48">
        <v>0</v>
      </c>
      <c r="AZ155" s="48">
        <v>703.01</v>
      </c>
      <c r="BA155" s="48">
        <v>437.84</v>
      </c>
      <c r="BB155" s="48">
        <v>297.54000000000002</v>
      </c>
      <c r="BC155" s="48">
        <v>0</v>
      </c>
      <c r="BD155" s="48">
        <v>0</v>
      </c>
      <c r="BE155" s="48"/>
      <c r="BF155" s="48">
        <f t="shared" si="56"/>
        <v>22898.679999999997</v>
      </c>
      <c r="BG155" s="48"/>
      <c r="BH155" s="48"/>
      <c r="BI155" s="48" t="str">
        <f t="shared" si="62"/>
        <v>09207</v>
      </c>
      <c r="BJ155" s="48">
        <f t="shared" si="63"/>
        <v>22898.679999999997</v>
      </c>
      <c r="BK155" s="628">
        <f t="shared" si="64"/>
        <v>0</v>
      </c>
    </row>
    <row r="156" spans="1:63">
      <c r="A156" s="196">
        <v>149</v>
      </c>
      <c r="B156" s="73" t="s">
        <v>189</v>
      </c>
      <c r="C156" s="139" t="s">
        <v>190</v>
      </c>
      <c r="D156" s="168">
        <v>1521.3199999999997</v>
      </c>
      <c r="E156" s="170">
        <v>44970.34</v>
      </c>
      <c r="F156" s="171">
        <f t="shared" si="70"/>
        <v>46491.659999999996</v>
      </c>
      <c r="G156" s="181">
        <v>42657.25</v>
      </c>
      <c r="H156" s="178">
        <v>3834.4099999999962</v>
      </c>
      <c r="I156" s="170">
        <v>65829.38</v>
      </c>
      <c r="J156" s="171">
        <f t="shared" si="71"/>
        <v>69663.790000000008</v>
      </c>
      <c r="K156" s="202">
        <v>69563.919999999984</v>
      </c>
      <c r="L156" s="171">
        <v>99.870000000024447</v>
      </c>
      <c r="M156" s="197">
        <v>65845.69</v>
      </c>
      <c r="N156" s="171">
        <f t="shared" si="65"/>
        <v>65945.560000000027</v>
      </c>
      <c r="O156" s="202">
        <v>67219.77</v>
      </c>
      <c r="P156" s="238">
        <v>0</v>
      </c>
      <c r="Q156" s="197">
        <v>72348.26999999999</v>
      </c>
      <c r="R156" s="171">
        <f t="shared" si="66"/>
        <v>72348.26999999999</v>
      </c>
      <c r="S156" s="202">
        <v>72384.01999999999</v>
      </c>
      <c r="T156" s="238">
        <v>0</v>
      </c>
      <c r="U156" s="238">
        <v>75654.19</v>
      </c>
      <c r="V156" s="171">
        <f t="shared" si="67"/>
        <v>75654.19</v>
      </c>
      <c r="W156" s="56">
        <v>75794.8</v>
      </c>
      <c r="X156" s="568">
        <f t="shared" si="57"/>
        <v>0</v>
      </c>
      <c r="Y156" s="569">
        <v>69843.53</v>
      </c>
      <c r="Z156" s="171">
        <f t="shared" si="68"/>
        <v>69843.53</v>
      </c>
      <c r="AA156" s="48">
        <v>63193.43</v>
      </c>
      <c r="AB156" s="238">
        <f t="shared" si="58"/>
        <v>6650.0999999999985</v>
      </c>
      <c r="AC156" s="238">
        <v>66294.11</v>
      </c>
      <c r="AD156" s="171">
        <f t="shared" si="69"/>
        <v>72944.209999999992</v>
      </c>
      <c r="AE156" s="238"/>
      <c r="AF156" s="238">
        <f t="shared" si="59"/>
        <v>0</v>
      </c>
      <c r="AG156" s="196">
        <v>148</v>
      </c>
      <c r="AH156" s="73" t="s">
        <v>189</v>
      </c>
      <c r="AI156" s="139" t="s">
        <v>190</v>
      </c>
      <c r="AJ156" s="238">
        <f t="shared" si="60"/>
        <v>0</v>
      </c>
      <c r="AK156" s="238"/>
      <c r="AL156" s="358" t="s">
        <v>189</v>
      </c>
      <c r="AM156" s="48">
        <v>63193.43</v>
      </c>
      <c r="AN156" s="238" t="s">
        <v>189</v>
      </c>
      <c r="AO156" s="238">
        <v>66294.11</v>
      </c>
      <c r="AQ156" s="472">
        <f t="shared" si="61"/>
        <v>0</v>
      </c>
      <c r="AS156" t="s">
        <v>189</v>
      </c>
      <c r="AT156" t="s">
        <v>1672</v>
      </c>
      <c r="AU156" s="48">
        <v>48937.78</v>
      </c>
      <c r="AV156" s="48">
        <v>3003.21</v>
      </c>
      <c r="AW156" s="48">
        <v>232.8</v>
      </c>
      <c r="AX156" s="48">
        <v>0</v>
      </c>
      <c r="AY156" s="48">
        <v>0</v>
      </c>
      <c r="AZ156" s="48">
        <v>4051.55</v>
      </c>
      <c r="BA156" s="48">
        <v>2822.83</v>
      </c>
      <c r="BB156" s="48">
        <v>4901.03</v>
      </c>
      <c r="BC156" s="48">
        <v>251.3</v>
      </c>
      <c r="BD156" s="48">
        <v>2093.61</v>
      </c>
      <c r="BE156" s="48"/>
      <c r="BF156" s="48">
        <f t="shared" si="56"/>
        <v>66294.11</v>
      </c>
      <c r="BG156" s="48"/>
      <c r="BH156" s="48"/>
      <c r="BI156" s="48" t="str">
        <f t="shared" si="62"/>
        <v>04019</v>
      </c>
      <c r="BJ156" s="48">
        <f t="shared" si="63"/>
        <v>66294.11</v>
      </c>
      <c r="BK156" s="628">
        <f t="shared" si="64"/>
        <v>0</v>
      </c>
    </row>
    <row r="157" spans="1:63">
      <c r="A157" s="196">
        <v>150</v>
      </c>
      <c r="B157" s="73" t="s">
        <v>464</v>
      </c>
      <c r="C157" s="139" t="s">
        <v>465</v>
      </c>
      <c r="D157" s="168">
        <v>4940.5</v>
      </c>
      <c r="E157" s="170">
        <v>21965.48</v>
      </c>
      <c r="F157" s="171">
        <f t="shared" si="70"/>
        <v>26905.98</v>
      </c>
      <c r="G157" s="181">
        <v>10986.78</v>
      </c>
      <c r="H157" s="178">
        <v>15919.199999999999</v>
      </c>
      <c r="I157" s="170">
        <v>45461.670000000006</v>
      </c>
      <c r="J157" s="171">
        <f t="shared" si="71"/>
        <v>61380.87</v>
      </c>
      <c r="K157" s="202">
        <v>21792.539999999997</v>
      </c>
      <c r="L157" s="171">
        <v>39588.33</v>
      </c>
      <c r="M157" s="197">
        <v>41207.339999999997</v>
      </c>
      <c r="N157" s="171">
        <f t="shared" si="65"/>
        <v>80795.67</v>
      </c>
      <c r="O157" s="202">
        <v>21671.75</v>
      </c>
      <c r="P157" s="238">
        <v>59123.92</v>
      </c>
      <c r="Q157" s="197">
        <v>39018.629999999997</v>
      </c>
      <c r="R157" s="171">
        <f t="shared" si="66"/>
        <v>98142.549999999988</v>
      </c>
      <c r="S157" s="202">
        <v>30347.46</v>
      </c>
      <c r="T157" s="238">
        <v>67795.09</v>
      </c>
      <c r="U157" s="238">
        <v>40115.919999999998</v>
      </c>
      <c r="V157" s="171">
        <f t="shared" si="67"/>
        <v>107911.01</v>
      </c>
      <c r="W157" s="56">
        <v>32895.68</v>
      </c>
      <c r="X157" s="568">
        <f t="shared" si="57"/>
        <v>75015.329999999987</v>
      </c>
      <c r="Y157" s="569">
        <v>41392.33</v>
      </c>
      <c r="Z157" s="171">
        <f t="shared" si="68"/>
        <v>116407.65999999999</v>
      </c>
      <c r="AA157" s="48">
        <v>32378.720000000001</v>
      </c>
      <c r="AB157" s="238">
        <f t="shared" si="58"/>
        <v>84028.939999999988</v>
      </c>
      <c r="AC157" s="238">
        <v>44545.31</v>
      </c>
      <c r="AD157" s="171">
        <f t="shared" si="69"/>
        <v>128574.24999999999</v>
      </c>
      <c r="AE157" s="238"/>
      <c r="AF157" s="238">
        <f t="shared" si="59"/>
        <v>0</v>
      </c>
      <c r="AG157" s="196">
        <v>149</v>
      </c>
      <c r="AH157" s="73" t="s">
        <v>464</v>
      </c>
      <c r="AI157" s="139" t="s">
        <v>465</v>
      </c>
      <c r="AJ157" s="238">
        <f t="shared" si="60"/>
        <v>0</v>
      </c>
      <c r="AK157" s="238"/>
      <c r="AL157" s="358" t="s">
        <v>464</v>
      </c>
      <c r="AM157" s="48">
        <v>32378.720000000001</v>
      </c>
      <c r="AN157" s="238" t="s">
        <v>464</v>
      </c>
      <c r="AO157" s="238">
        <v>44545.31</v>
      </c>
      <c r="AQ157" s="472">
        <f t="shared" si="61"/>
        <v>0</v>
      </c>
      <c r="AS157" t="s">
        <v>464</v>
      </c>
      <c r="AT157" t="s">
        <v>1815</v>
      </c>
      <c r="AU157" s="48">
        <v>24187.53</v>
      </c>
      <c r="AV157" s="48">
        <v>1614.14</v>
      </c>
      <c r="AW157" s="48">
        <v>588.92999999999995</v>
      </c>
      <c r="AX157" s="48">
        <v>0</v>
      </c>
      <c r="AY157" s="48">
        <v>13751.65</v>
      </c>
      <c r="AZ157" s="48">
        <v>2637.83</v>
      </c>
      <c r="BA157" s="48">
        <v>815.55</v>
      </c>
      <c r="BB157" s="48">
        <v>595.09</v>
      </c>
      <c r="BC157" s="48">
        <v>354.59</v>
      </c>
      <c r="BD157" s="48">
        <v>0</v>
      </c>
      <c r="BE157" s="48"/>
      <c r="BF157" s="48">
        <f t="shared" si="56"/>
        <v>44545.31</v>
      </c>
      <c r="BG157" s="48"/>
      <c r="BH157" s="48"/>
      <c r="BI157" s="48" t="str">
        <f t="shared" si="62"/>
        <v>23311</v>
      </c>
      <c r="BJ157" s="48">
        <f t="shared" si="63"/>
        <v>44545.31</v>
      </c>
      <c r="BK157" s="628">
        <f t="shared" si="64"/>
        <v>0</v>
      </c>
    </row>
    <row r="158" spans="1:63">
      <c r="A158" s="196">
        <v>151</v>
      </c>
      <c r="B158" s="73" t="s">
        <v>634</v>
      </c>
      <c r="C158" s="139" t="s">
        <v>635</v>
      </c>
      <c r="D158" s="168">
        <v>275.80999999999949</v>
      </c>
      <c r="E158" s="170">
        <v>29533.65</v>
      </c>
      <c r="F158" s="171">
        <f t="shared" si="70"/>
        <v>29809.46</v>
      </c>
      <c r="G158" s="181">
        <v>29388.1</v>
      </c>
      <c r="H158" s="178">
        <v>421.36000000000058</v>
      </c>
      <c r="I158" s="170">
        <v>39342.19</v>
      </c>
      <c r="J158" s="171">
        <f t="shared" si="71"/>
        <v>39763.550000000003</v>
      </c>
      <c r="K158" s="202">
        <v>25824.460000000003</v>
      </c>
      <c r="L158" s="171">
        <v>13939.09</v>
      </c>
      <c r="M158" s="197">
        <v>42155.519999999997</v>
      </c>
      <c r="N158" s="171">
        <f t="shared" si="65"/>
        <v>56094.61</v>
      </c>
      <c r="O158" s="202">
        <v>37336.550000000003</v>
      </c>
      <c r="P158" s="238">
        <v>18758.059999999998</v>
      </c>
      <c r="Q158" s="197">
        <v>50928.32</v>
      </c>
      <c r="R158" s="171">
        <f t="shared" si="66"/>
        <v>69686.38</v>
      </c>
      <c r="S158" s="202">
        <v>38222.39</v>
      </c>
      <c r="T158" s="238">
        <v>31463.990000000005</v>
      </c>
      <c r="U158" s="238">
        <v>50752.47</v>
      </c>
      <c r="V158" s="171">
        <f t="shared" si="67"/>
        <v>82216.460000000006</v>
      </c>
      <c r="W158" s="56">
        <v>53145.000000000007</v>
      </c>
      <c r="X158" s="568">
        <f t="shared" si="57"/>
        <v>29071.46</v>
      </c>
      <c r="Y158" s="569">
        <v>56829.35</v>
      </c>
      <c r="Z158" s="171">
        <f t="shared" si="68"/>
        <v>85900.81</v>
      </c>
      <c r="AA158" s="48">
        <v>43084.499999999993</v>
      </c>
      <c r="AB158" s="238">
        <f t="shared" si="58"/>
        <v>42816.310000000005</v>
      </c>
      <c r="AC158" s="238">
        <v>55397.130000000005</v>
      </c>
      <c r="AD158" s="171">
        <f t="shared" si="69"/>
        <v>98213.440000000002</v>
      </c>
      <c r="AE158" s="238"/>
      <c r="AF158" s="238">
        <f t="shared" si="59"/>
        <v>0</v>
      </c>
      <c r="AG158" s="196">
        <v>150</v>
      </c>
      <c r="AH158" s="73" t="s">
        <v>634</v>
      </c>
      <c r="AI158" s="139" t="s">
        <v>635</v>
      </c>
      <c r="AJ158" s="238">
        <f t="shared" si="60"/>
        <v>0</v>
      </c>
      <c r="AK158" s="238"/>
      <c r="AL158" s="358" t="s">
        <v>634</v>
      </c>
      <c r="AM158" s="48">
        <v>43084.499999999993</v>
      </c>
      <c r="AN158" s="238" t="s">
        <v>634</v>
      </c>
      <c r="AO158" s="238">
        <v>55397.130000000005</v>
      </c>
      <c r="AQ158" s="472">
        <f t="shared" si="61"/>
        <v>0</v>
      </c>
      <c r="AS158" t="s">
        <v>634</v>
      </c>
      <c r="AT158" t="s">
        <v>1901</v>
      </c>
      <c r="AU158" s="48">
        <v>36083.19</v>
      </c>
      <c r="AV158" s="48">
        <v>1854.65</v>
      </c>
      <c r="AW158" s="48">
        <v>0</v>
      </c>
      <c r="AX158" s="48">
        <v>0</v>
      </c>
      <c r="AY158" s="48">
        <v>11035.08</v>
      </c>
      <c r="AZ158" s="48">
        <v>4051.55</v>
      </c>
      <c r="BA158" s="48">
        <v>2372.66</v>
      </c>
      <c r="BB158" s="48">
        <v>0</v>
      </c>
      <c r="BC158" s="48">
        <v>0</v>
      </c>
      <c r="BD158" s="48">
        <v>0</v>
      </c>
      <c r="BE158" s="48"/>
      <c r="BF158" s="48">
        <f t="shared" si="56"/>
        <v>55397.130000000005</v>
      </c>
      <c r="BG158" s="48"/>
      <c r="BH158" s="48"/>
      <c r="BI158" s="48" t="str">
        <f t="shared" si="62"/>
        <v>33207</v>
      </c>
      <c r="BJ158" s="48">
        <f t="shared" si="63"/>
        <v>55397.130000000005</v>
      </c>
      <c r="BK158" s="628">
        <f t="shared" si="64"/>
        <v>0</v>
      </c>
    </row>
    <row r="159" spans="1:63">
      <c r="A159" s="196">
        <v>152</v>
      </c>
      <c r="B159" s="73" t="s">
        <v>574</v>
      </c>
      <c r="C159" s="139" t="s">
        <v>575</v>
      </c>
      <c r="D159" s="168">
        <v>0</v>
      </c>
      <c r="E159" s="170">
        <v>787163.36</v>
      </c>
      <c r="F159" s="171">
        <f t="shared" si="70"/>
        <v>787163.36</v>
      </c>
      <c r="G159" s="181">
        <v>808920.92</v>
      </c>
      <c r="H159" s="178">
        <v>0</v>
      </c>
      <c r="I159" s="170">
        <v>1085715.31</v>
      </c>
      <c r="J159" s="171">
        <f t="shared" si="71"/>
        <v>1085715.31</v>
      </c>
      <c r="K159" s="202">
        <v>1257385.4700000002</v>
      </c>
      <c r="L159" s="171">
        <v>0</v>
      </c>
      <c r="M159" s="197">
        <v>1074763.9900000002</v>
      </c>
      <c r="N159" s="171">
        <f t="shared" si="65"/>
        <v>1074763.9900000002</v>
      </c>
      <c r="O159" s="202">
        <v>1130548.9000000001</v>
      </c>
      <c r="P159" s="238">
        <v>0</v>
      </c>
      <c r="Q159" s="197">
        <v>1173975.73</v>
      </c>
      <c r="R159" s="171">
        <f t="shared" si="66"/>
        <v>1173975.73</v>
      </c>
      <c r="S159" s="202">
        <v>1226907.4100000001</v>
      </c>
      <c r="T159" s="238">
        <v>0</v>
      </c>
      <c r="U159" s="238">
        <v>1191812.83</v>
      </c>
      <c r="V159" s="171">
        <f t="shared" si="67"/>
        <v>1191812.83</v>
      </c>
      <c r="W159" s="56">
        <v>1232384.2099999993</v>
      </c>
      <c r="X159" s="568">
        <f t="shared" si="57"/>
        <v>0</v>
      </c>
      <c r="Y159" s="569">
        <v>1223643.18</v>
      </c>
      <c r="Z159" s="171">
        <f t="shared" si="68"/>
        <v>1223643.18</v>
      </c>
      <c r="AA159" s="48">
        <v>1190305.7400000005</v>
      </c>
      <c r="AB159" s="238">
        <f t="shared" si="58"/>
        <v>33337.439999999478</v>
      </c>
      <c r="AC159" s="238">
        <v>1229360.8699999999</v>
      </c>
      <c r="AD159" s="171">
        <f t="shared" si="69"/>
        <v>1262698.3099999994</v>
      </c>
      <c r="AE159" s="238"/>
      <c r="AF159" s="238">
        <f t="shared" si="59"/>
        <v>0</v>
      </c>
      <c r="AG159" s="196">
        <v>151</v>
      </c>
      <c r="AH159" s="73" t="s">
        <v>574</v>
      </c>
      <c r="AI159" s="139" t="s">
        <v>575</v>
      </c>
      <c r="AJ159" s="238">
        <f t="shared" si="60"/>
        <v>0</v>
      </c>
      <c r="AK159" s="238"/>
      <c r="AL159" s="358" t="s">
        <v>574</v>
      </c>
      <c r="AM159" s="48">
        <v>1190305.7400000005</v>
      </c>
      <c r="AN159" s="238" t="s">
        <v>574</v>
      </c>
      <c r="AO159" s="238">
        <v>1229360.8699999999</v>
      </c>
      <c r="AQ159" s="472">
        <f t="shared" si="61"/>
        <v>0</v>
      </c>
      <c r="AS159" t="s">
        <v>574</v>
      </c>
      <c r="AT159" t="s">
        <v>1869</v>
      </c>
      <c r="AU159" s="48">
        <v>841706.95</v>
      </c>
      <c r="AV159" s="48">
        <v>65650.97</v>
      </c>
      <c r="AW159" s="48">
        <v>17640.7</v>
      </c>
      <c r="AX159" s="48">
        <v>0</v>
      </c>
      <c r="AY159" s="48">
        <v>169658.43</v>
      </c>
      <c r="AZ159" s="48">
        <v>54355.61</v>
      </c>
      <c r="BA159" s="48">
        <v>33196.6</v>
      </c>
      <c r="BB159" s="48">
        <v>42414.44</v>
      </c>
      <c r="BC159" s="48">
        <v>4737.17</v>
      </c>
      <c r="BD159" s="48">
        <v>0</v>
      </c>
      <c r="BE159" s="48"/>
      <c r="BF159" s="48">
        <f t="shared" si="56"/>
        <v>1229360.8699999999</v>
      </c>
      <c r="BG159" s="48"/>
      <c r="BH159" s="48"/>
      <c r="BI159" s="48" t="str">
        <f t="shared" si="62"/>
        <v>31025</v>
      </c>
      <c r="BJ159" s="48">
        <f t="shared" si="63"/>
        <v>1229360.8699999999</v>
      </c>
      <c r="BK159" s="628">
        <f t="shared" si="64"/>
        <v>0</v>
      </c>
    </row>
    <row r="160" spans="1:63">
      <c r="A160" s="196">
        <v>153</v>
      </c>
      <c r="B160" s="73" t="s">
        <v>303</v>
      </c>
      <c r="C160" s="139" t="s">
        <v>304</v>
      </c>
      <c r="D160" s="168">
        <v>1336.9500000000007</v>
      </c>
      <c r="E160" s="170">
        <v>22432.28</v>
      </c>
      <c r="F160" s="171">
        <f t="shared" si="70"/>
        <v>23769.23</v>
      </c>
      <c r="G160" s="181">
        <v>12240.05</v>
      </c>
      <c r="H160" s="178">
        <v>11529.18</v>
      </c>
      <c r="I160" s="170">
        <v>29702.440000000002</v>
      </c>
      <c r="J160" s="171">
        <f t="shared" si="71"/>
        <v>41231.620000000003</v>
      </c>
      <c r="K160" s="202">
        <v>41231.630000000005</v>
      </c>
      <c r="L160" s="171">
        <v>0</v>
      </c>
      <c r="M160" s="197">
        <v>29185.3</v>
      </c>
      <c r="N160" s="171">
        <f t="shared" si="65"/>
        <v>29185.3</v>
      </c>
      <c r="O160" s="202">
        <v>29265.040000000001</v>
      </c>
      <c r="P160" s="238">
        <v>0</v>
      </c>
      <c r="Q160" s="197">
        <v>33737.32</v>
      </c>
      <c r="R160" s="171">
        <f t="shared" si="66"/>
        <v>33737.32</v>
      </c>
      <c r="S160" s="202">
        <v>33823.879999999997</v>
      </c>
      <c r="T160" s="238">
        <v>0</v>
      </c>
      <c r="U160" s="238">
        <v>36816.57</v>
      </c>
      <c r="V160" s="171">
        <f t="shared" si="67"/>
        <v>36816.57</v>
      </c>
      <c r="W160" s="56">
        <v>36904.36</v>
      </c>
      <c r="X160" s="568">
        <f t="shared" si="57"/>
        <v>0</v>
      </c>
      <c r="Y160" s="569">
        <v>38605.210000000006</v>
      </c>
      <c r="Z160" s="171">
        <f t="shared" si="68"/>
        <v>38605.210000000006</v>
      </c>
      <c r="AA160" s="48">
        <v>38698.94</v>
      </c>
      <c r="AB160" s="238">
        <f t="shared" si="58"/>
        <v>0</v>
      </c>
      <c r="AC160" s="238">
        <v>40405.17</v>
      </c>
      <c r="AD160" s="171">
        <f t="shared" si="69"/>
        <v>40405.17</v>
      </c>
      <c r="AE160" s="238"/>
      <c r="AF160" s="238">
        <f t="shared" si="59"/>
        <v>0</v>
      </c>
      <c r="AG160" s="196">
        <v>152</v>
      </c>
      <c r="AH160" s="73" t="s">
        <v>303</v>
      </c>
      <c r="AI160" s="139" t="s">
        <v>304</v>
      </c>
      <c r="AJ160" s="238">
        <f t="shared" si="60"/>
        <v>0</v>
      </c>
      <c r="AK160" s="238"/>
      <c r="AL160" s="358" t="s">
        <v>303</v>
      </c>
      <c r="AM160" s="48">
        <v>38698.94</v>
      </c>
      <c r="AN160" s="238" t="s">
        <v>303</v>
      </c>
      <c r="AO160" s="238">
        <v>40405.17</v>
      </c>
      <c r="AQ160" s="472">
        <f t="shared" si="61"/>
        <v>0</v>
      </c>
      <c r="AS160" t="s">
        <v>303</v>
      </c>
      <c r="AT160" t="s">
        <v>1731</v>
      </c>
      <c r="AU160" s="48">
        <v>28783.3</v>
      </c>
      <c r="AV160" s="48">
        <v>0</v>
      </c>
      <c r="AW160" s="48">
        <v>0</v>
      </c>
      <c r="AX160" s="48">
        <v>0</v>
      </c>
      <c r="AY160" s="48">
        <v>8116.07</v>
      </c>
      <c r="AZ160" s="48">
        <v>1919.4</v>
      </c>
      <c r="BA160" s="48">
        <v>1404.48</v>
      </c>
      <c r="BB160" s="48">
        <v>44.71</v>
      </c>
      <c r="BC160" s="48">
        <v>137.21</v>
      </c>
      <c r="BD160" s="48">
        <v>0</v>
      </c>
      <c r="BE160" s="48"/>
      <c r="BF160" s="48">
        <f t="shared" si="56"/>
        <v>40405.17</v>
      </c>
      <c r="BG160" s="48"/>
      <c r="BH160" s="48"/>
      <c r="BI160" s="48" t="str">
        <f t="shared" si="62"/>
        <v>14065</v>
      </c>
      <c r="BJ160" s="48">
        <f t="shared" si="63"/>
        <v>40405.17</v>
      </c>
      <c r="BK160" s="628">
        <f t="shared" si="64"/>
        <v>0</v>
      </c>
    </row>
    <row r="161" spans="1:63">
      <c r="A161" s="196">
        <v>154</v>
      </c>
      <c r="B161" s="73" t="s">
        <v>602</v>
      </c>
      <c r="C161" s="139" t="s">
        <v>603</v>
      </c>
      <c r="D161" s="168">
        <v>0</v>
      </c>
      <c r="E161" s="170">
        <v>630551.75</v>
      </c>
      <c r="F161" s="171">
        <f t="shared" si="70"/>
        <v>630551.75</v>
      </c>
      <c r="G161" s="181">
        <v>648725.42000000004</v>
      </c>
      <c r="H161" s="178">
        <v>0</v>
      </c>
      <c r="I161" s="170">
        <v>885935.2</v>
      </c>
      <c r="J161" s="171">
        <f t="shared" si="71"/>
        <v>885935.2</v>
      </c>
      <c r="K161" s="202">
        <v>952201.13</v>
      </c>
      <c r="L161" s="171">
        <v>0</v>
      </c>
      <c r="M161" s="197">
        <v>886620.65999999992</v>
      </c>
      <c r="N161" s="171">
        <f t="shared" si="65"/>
        <v>886620.65999999992</v>
      </c>
      <c r="O161" s="202">
        <v>731335.04</v>
      </c>
      <c r="P161" s="238">
        <v>155285.61999999988</v>
      </c>
      <c r="Q161" s="197">
        <v>955389.28</v>
      </c>
      <c r="R161" s="171">
        <f t="shared" si="66"/>
        <v>1110674.8999999999</v>
      </c>
      <c r="S161" s="202">
        <v>1105888.57</v>
      </c>
      <c r="T161" s="238">
        <v>4786.3299999998417</v>
      </c>
      <c r="U161" s="238">
        <v>991374.97</v>
      </c>
      <c r="V161" s="171">
        <f t="shared" si="67"/>
        <v>996161.29999999981</v>
      </c>
      <c r="W161" s="56">
        <v>1156714.5100000002</v>
      </c>
      <c r="X161" s="568">
        <f t="shared" si="57"/>
        <v>0</v>
      </c>
      <c r="Y161" s="569">
        <v>1073406.28</v>
      </c>
      <c r="Z161" s="171">
        <f t="shared" si="68"/>
        <v>1073406.28</v>
      </c>
      <c r="AA161" s="48">
        <v>1179326.8799999987</v>
      </c>
      <c r="AB161" s="238">
        <f t="shared" si="58"/>
        <v>0</v>
      </c>
      <c r="AC161" s="238">
        <v>1084860.6800000004</v>
      </c>
      <c r="AD161" s="171">
        <f t="shared" si="69"/>
        <v>1084860.6800000004</v>
      </c>
      <c r="AE161" s="238"/>
      <c r="AF161" s="238">
        <f t="shared" si="59"/>
        <v>0</v>
      </c>
      <c r="AG161" s="196">
        <v>153</v>
      </c>
      <c r="AH161" s="73" t="s">
        <v>602</v>
      </c>
      <c r="AI161" s="139" t="s">
        <v>603</v>
      </c>
      <c r="AJ161" s="238">
        <f t="shared" si="60"/>
        <v>0</v>
      </c>
      <c r="AK161" s="238"/>
      <c r="AL161" s="358" t="s">
        <v>602</v>
      </c>
      <c r="AM161" s="48">
        <v>1179326.8799999987</v>
      </c>
      <c r="AN161" s="238" t="s">
        <v>602</v>
      </c>
      <c r="AO161" s="238">
        <v>1084860.6800000004</v>
      </c>
      <c r="AQ161" s="472">
        <f t="shared" si="61"/>
        <v>0</v>
      </c>
      <c r="AS161" t="s">
        <v>602</v>
      </c>
      <c r="AT161" t="s">
        <v>1883</v>
      </c>
      <c r="AU161" s="48">
        <v>738800.25</v>
      </c>
      <c r="AV161" s="48">
        <v>46445.99</v>
      </c>
      <c r="AW161" s="48">
        <v>31996.55</v>
      </c>
      <c r="AX161" s="48">
        <v>0</v>
      </c>
      <c r="AY161" s="48">
        <v>194524.15</v>
      </c>
      <c r="AZ161" s="48">
        <v>38611.99</v>
      </c>
      <c r="BA161" s="48">
        <v>3251.6</v>
      </c>
      <c r="BB161" s="48">
        <v>11473.61</v>
      </c>
      <c r="BC161" s="48">
        <v>4678.59</v>
      </c>
      <c r="BD161" s="48">
        <v>15077.95</v>
      </c>
      <c r="BE161" s="48"/>
      <c r="BF161" s="48">
        <f t="shared" si="56"/>
        <v>1084860.6800000004</v>
      </c>
      <c r="BG161" s="48"/>
      <c r="BH161" s="48"/>
      <c r="BI161" s="48" t="str">
        <f t="shared" si="62"/>
        <v>32354</v>
      </c>
      <c r="BJ161" s="48">
        <f t="shared" si="63"/>
        <v>1084860.6800000004</v>
      </c>
      <c r="BK161" s="628">
        <f t="shared" si="64"/>
        <v>0</v>
      </c>
    </row>
    <row r="162" spans="1:63">
      <c r="A162" s="196">
        <v>155</v>
      </c>
      <c r="B162" s="73" t="s">
        <v>600</v>
      </c>
      <c r="C162" s="139" t="s">
        <v>601</v>
      </c>
      <c r="D162" s="168">
        <v>0</v>
      </c>
      <c r="E162" s="170">
        <v>109134.96999999999</v>
      </c>
      <c r="F162" s="171">
        <f t="shared" si="70"/>
        <v>109134.96999999999</v>
      </c>
      <c r="G162" s="181">
        <v>110246.93</v>
      </c>
      <c r="H162" s="178">
        <v>0</v>
      </c>
      <c r="I162" s="170">
        <v>140992.13</v>
      </c>
      <c r="J162" s="171">
        <f t="shared" si="71"/>
        <v>140992.13</v>
      </c>
      <c r="K162" s="202">
        <v>159120.30999999997</v>
      </c>
      <c r="L162" s="171">
        <v>0</v>
      </c>
      <c r="M162" s="197">
        <v>155611.13</v>
      </c>
      <c r="N162" s="171">
        <f t="shared" si="65"/>
        <v>155611.13</v>
      </c>
      <c r="O162" s="202">
        <v>151350.82999999999</v>
      </c>
      <c r="P162" s="238">
        <v>4260.3000000000175</v>
      </c>
      <c r="Q162" s="197">
        <v>170920.27000000002</v>
      </c>
      <c r="R162" s="171">
        <f t="shared" si="66"/>
        <v>175180.57000000004</v>
      </c>
      <c r="S162" s="202">
        <v>136749.85999999999</v>
      </c>
      <c r="T162" s="238">
        <v>38430.71000000005</v>
      </c>
      <c r="U162" s="238">
        <v>169847.85</v>
      </c>
      <c r="V162" s="171">
        <f t="shared" si="67"/>
        <v>208278.56000000006</v>
      </c>
      <c r="W162" s="56">
        <v>193909.10000000003</v>
      </c>
      <c r="X162" s="568">
        <f t="shared" si="57"/>
        <v>14369.460000000021</v>
      </c>
      <c r="Y162" s="569">
        <v>184856.99999999997</v>
      </c>
      <c r="Z162" s="171">
        <f t="shared" si="68"/>
        <v>199226.46</v>
      </c>
      <c r="AA162" s="48">
        <v>157700.58000000002</v>
      </c>
      <c r="AB162" s="238">
        <f t="shared" si="58"/>
        <v>41525.879999999976</v>
      </c>
      <c r="AC162" s="238">
        <v>184565.31</v>
      </c>
      <c r="AD162" s="171">
        <f t="shared" si="69"/>
        <v>226091.18999999997</v>
      </c>
      <c r="AE162" s="238"/>
      <c r="AF162" s="238">
        <f t="shared" si="59"/>
        <v>0</v>
      </c>
      <c r="AG162" s="196">
        <v>154</v>
      </c>
      <c r="AH162" s="73" t="s">
        <v>600</v>
      </c>
      <c r="AI162" s="139" t="s">
        <v>601</v>
      </c>
      <c r="AJ162" s="238">
        <f t="shared" si="60"/>
        <v>0</v>
      </c>
      <c r="AK162" s="238"/>
      <c r="AL162" s="358" t="s">
        <v>600</v>
      </c>
      <c r="AM162" s="48">
        <v>157700.58000000002</v>
      </c>
      <c r="AN162" s="238" t="s">
        <v>600</v>
      </c>
      <c r="AO162" s="238">
        <v>184565.31</v>
      </c>
      <c r="AQ162" s="472">
        <f t="shared" si="61"/>
        <v>0</v>
      </c>
      <c r="AS162" t="s">
        <v>600</v>
      </c>
      <c r="AT162" t="s">
        <v>1882</v>
      </c>
      <c r="AU162" s="48">
        <v>136337.57999999999</v>
      </c>
      <c r="AV162" s="48">
        <v>9310.25</v>
      </c>
      <c r="AW162" s="48">
        <v>0</v>
      </c>
      <c r="AX162" s="48">
        <v>0</v>
      </c>
      <c r="AY162" s="48">
        <v>26417.49</v>
      </c>
      <c r="AZ162" s="48">
        <v>6902.13</v>
      </c>
      <c r="BA162" s="48">
        <v>0</v>
      </c>
      <c r="BB162" s="48">
        <v>681.42</v>
      </c>
      <c r="BC162" s="48">
        <v>752.34</v>
      </c>
      <c r="BD162" s="48">
        <v>4164.1000000000004</v>
      </c>
      <c r="BE162" s="48"/>
      <c r="BF162" s="48">
        <f t="shared" si="56"/>
        <v>184565.31</v>
      </c>
      <c r="BG162" s="48"/>
      <c r="BH162" s="48"/>
      <c r="BI162" s="48" t="str">
        <f t="shared" si="62"/>
        <v>32326</v>
      </c>
      <c r="BJ162" s="48">
        <f t="shared" si="63"/>
        <v>184565.31</v>
      </c>
      <c r="BK162" s="628">
        <f t="shared" si="64"/>
        <v>0</v>
      </c>
    </row>
    <row r="163" spans="1:63">
      <c r="A163" s="196">
        <v>156</v>
      </c>
      <c r="B163" s="73" t="s">
        <v>344</v>
      </c>
      <c r="C163" s="139" t="s">
        <v>345</v>
      </c>
      <c r="D163" s="168">
        <v>0</v>
      </c>
      <c r="E163" s="170">
        <v>287521.94</v>
      </c>
      <c r="F163" s="171">
        <f t="shared" si="70"/>
        <v>287521.94</v>
      </c>
      <c r="G163" s="181">
        <v>312104.83</v>
      </c>
      <c r="H163" s="178">
        <v>0</v>
      </c>
      <c r="I163" s="170">
        <v>392615.18999999994</v>
      </c>
      <c r="J163" s="171">
        <f t="shared" si="71"/>
        <v>392615.18999999994</v>
      </c>
      <c r="K163" s="202">
        <v>489482.36000000004</v>
      </c>
      <c r="L163" s="171">
        <v>0</v>
      </c>
      <c r="M163" s="197">
        <v>394850.47000000003</v>
      </c>
      <c r="N163" s="171">
        <f t="shared" si="65"/>
        <v>394850.47000000003</v>
      </c>
      <c r="O163" s="202">
        <v>470185.65</v>
      </c>
      <c r="P163" s="238">
        <v>0</v>
      </c>
      <c r="Q163" s="197">
        <v>425775.37</v>
      </c>
      <c r="R163" s="171">
        <f t="shared" si="66"/>
        <v>425775.37</v>
      </c>
      <c r="S163" s="202">
        <v>469781.07</v>
      </c>
      <c r="T163" s="238">
        <v>0</v>
      </c>
      <c r="U163" s="238">
        <v>434207.62999999995</v>
      </c>
      <c r="V163" s="171">
        <f t="shared" si="67"/>
        <v>434207.62999999995</v>
      </c>
      <c r="W163" s="56">
        <v>461525.83000000025</v>
      </c>
      <c r="X163" s="568">
        <f t="shared" si="57"/>
        <v>0</v>
      </c>
      <c r="Y163" s="569">
        <v>458735.77999999997</v>
      </c>
      <c r="Z163" s="171">
        <f t="shared" si="68"/>
        <v>458735.77999999997</v>
      </c>
      <c r="AA163" s="48">
        <v>475926.30999999976</v>
      </c>
      <c r="AB163" s="238">
        <f t="shared" si="58"/>
        <v>0</v>
      </c>
      <c r="AC163" s="238">
        <v>436231.06</v>
      </c>
      <c r="AD163" s="171">
        <f t="shared" si="69"/>
        <v>436231.06</v>
      </c>
      <c r="AE163" s="238"/>
      <c r="AF163" s="238">
        <f t="shared" si="59"/>
        <v>0</v>
      </c>
      <c r="AG163" s="196">
        <v>155</v>
      </c>
      <c r="AH163" s="73" t="s">
        <v>344</v>
      </c>
      <c r="AI163" s="139" t="s">
        <v>345</v>
      </c>
      <c r="AJ163" s="238">
        <f t="shared" si="60"/>
        <v>0</v>
      </c>
      <c r="AK163" s="238"/>
      <c r="AL163" s="358" t="s">
        <v>344</v>
      </c>
      <c r="AM163" s="48">
        <v>475926.30999999976</v>
      </c>
      <c r="AN163" s="238" t="s">
        <v>344</v>
      </c>
      <c r="AO163" s="238">
        <v>436231.06</v>
      </c>
      <c r="AQ163" s="472">
        <f t="shared" si="61"/>
        <v>0</v>
      </c>
      <c r="AS163" t="s">
        <v>344</v>
      </c>
      <c r="AT163" t="s">
        <v>1752</v>
      </c>
      <c r="AU163" s="48">
        <v>360731.03</v>
      </c>
      <c r="AV163" s="48">
        <v>29345.37</v>
      </c>
      <c r="AW163" s="48">
        <v>2705.13</v>
      </c>
      <c r="AX163" s="48">
        <v>0</v>
      </c>
      <c r="AY163" s="48">
        <v>32989.18</v>
      </c>
      <c r="AZ163" s="48">
        <v>2848.85</v>
      </c>
      <c r="BA163" s="48">
        <v>0</v>
      </c>
      <c r="BB163" s="48">
        <v>5584.92</v>
      </c>
      <c r="BC163" s="48">
        <v>2026.58</v>
      </c>
      <c r="BD163" s="48">
        <v>0</v>
      </c>
      <c r="BE163" s="48"/>
      <c r="BF163" s="48">
        <f t="shared" si="56"/>
        <v>436231.06</v>
      </c>
      <c r="BG163" s="48"/>
      <c r="BH163" s="48"/>
      <c r="BI163" s="48" t="str">
        <f t="shared" si="62"/>
        <v>17400</v>
      </c>
      <c r="BJ163" s="48">
        <f t="shared" si="63"/>
        <v>436231.06</v>
      </c>
      <c r="BK163" s="628">
        <f t="shared" si="64"/>
        <v>0</v>
      </c>
    </row>
    <row r="164" spans="1:63">
      <c r="A164" s="196">
        <v>157</v>
      </c>
      <c r="B164" s="73" t="s">
        <v>679</v>
      </c>
      <c r="C164" s="139" t="s">
        <v>680</v>
      </c>
      <c r="D164" s="168">
        <v>46305.26</v>
      </c>
      <c r="E164" s="170">
        <v>99282.540000000008</v>
      </c>
      <c r="F164" s="171">
        <f t="shared" si="70"/>
        <v>145587.80000000002</v>
      </c>
      <c r="G164" s="181">
        <v>106732.26</v>
      </c>
      <c r="H164" s="178">
        <v>38855.540000000023</v>
      </c>
      <c r="I164" s="170">
        <v>136804.71</v>
      </c>
      <c r="J164" s="171">
        <f t="shared" si="71"/>
        <v>175660.25</v>
      </c>
      <c r="K164" s="202">
        <v>232451.43000000002</v>
      </c>
      <c r="L164" s="171">
        <v>0</v>
      </c>
      <c r="M164" s="197">
        <v>145837.89000000001</v>
      </c>
      <c r="N164" s="171">
        <f t="shared" si="65"/>
        <v>145837.89000000001</v>
      </c>
      <c r="O164" s="202">
        <v>254680.81</v>
      </c>
      <c r="P164" s="238">
        <v>0</v>
      </c>
      <c r="Q164" s="197">
        <v>161092.31</v>
      </c>
      <c r="R164" s="171">
        <f t="shared" si="66"/>
        <v>161092.31</v>
      </c>
      <c r="S164" s="202">
        <v>265223.33</v>
      </c>
      <c r="T164" s="238">
        <v>0</v>
      </c>
      <c r="U164" s="238">
        <v>177146.85</v>
      </c>
      <c r="V164" s="171">
        <f t="shared" si="67"/>
        <v>177146.85</v>
      </c>
      <c r="W164" s="56">
        <v>277430.99000000011</v>
      </c>
      <c r="X164" s="568">
        <f t="shared" si="57"/>
        <v>0</v>
      </c>
      <c r="Y164" s="569">
        <v>202277.68999999997</v>
      </c>
      <c r="Z164" s="171">
        <f t="shared" si="68"/>
        <v>202277.68999999997</v>
      </c>
      <c r="AA164" s="48">
        <v>302897.6399999999</v>
      </c>
      <c r="AB164" s="238">
        <f t="shared" si="58"/>
        <v>0</v>
      </c>
      <c r="AC164" s="238">
        <v>201293.94999999998</v>
      </c>
      <c r="AD164" s="171">
        <f t="shared" si="69"/>
        <v>201293.94999999998</v>
      </c>
      <c r="AE164" s="238"/>
      <c r="AF164" s="238">
        <f t="shared" si="59"/>
        <v>0</v>
      </c>
      <c r="AG164" s="196">
        <v>156</v>
      </c>
      <c r="AH164" s="73" t="s">
        <v>679</v>
      </c>
      <c r="AI164" s="139" t="s">
        <v>680</v>
      </c>
      <c r="AJ164" s="238">
        <f t="shared" si="60"/>
        <v>0</v>
      </c>
      <c r="AK164" s="238"/>
      <c r="AL164" s="358" t="s">
        <v>679</v>
      </c>
      <c r="AM164" s="48">
        <v>302897.6399999999</v>
      </c>
      <c r="AN164" s="238" t="s">
        <v>679</v>
      </c>
      <c r="AO164" s="238">
        <v>201293.94999999998</v>
      </c>
      <c r="AQ164" s="472">
        <f t="shared" si="61"/>
        <v>0</v>
      </c>
      <c r="AS164" t="s">
        <v>679</v>
      </c>
      <c r="AT164" t="s">
        <v>1925</v>
      </c>
      <c r="AU164" s="48">
        <v>147226.20000000001</v>
      </c>
      <c r="AV164" s="48">
        <v>6269.61</v>
      </c>
      <c r="AW164" s="48">
        <v>0</v>
      </c>
      <c r="AX164" s="48">
        <v>0</v>
      </c>
      <c r="AY164" s="48">
        <v>25185.4</v>
      </c>
      <c r="AZ164" s="48">
        <v>8493.59</v>
      </c>
      <c r="BA164" s="48">
        <v>0</v>
      </c>
      <c r="BB164" s="48">
        <v>7669.96</v>
      </c>
      <c r="BC164" s="48">
        <v>918.6</v>
      </c>
      <c r="BD164" s="48">
        <v>5530.59</v>
      </c>
      <c r="BE164" s="48"/>
      <c r="BF164" s="48">
        <f t="shared" si="56"/>
        <v>201293.94999999998</v>
      </c>
      <c r="BG164" s="48"/>
      <c r="BH164" s="48"/>
      <c r="BI164" s="48" t="str">
        <f t="shared" si="62"/>
        <v>37505</v>
      </c>
      <c r="BJ164" s="48">
        <f t="shared" si="63"/>
        <v>201293.94999999998</v>
      </c>
      <c r="BK164" s="628">
        <f t="shared" si="64"/>
        <v>0</v>
      </c>
    </row>
    <row r="165" spans="1:63">
      <c r="A165" s="196">
        <v>158</v>
      </c>
      <c r="B165" s="73" t="s">
        <v>482</v>
      </c>
      <c r="C165" s="139" t="s">
        <v>483</v>
      </c>
      <c r="D165" s="168">
        <v>0</v>
      </c>
      <c r="E165" s="170">
        <v>37364.629999999997</v>
      </c>
      <c r="F165" s="171">
        <f t="shared" si="70"/>
        <v>37364.629999999997</v>
      </c>
      <c r="G165" s="181">
        <v>46779.05</v>
      </c>
      <c r="H165" s="178">
        <v>0</v>
      </c>
      <c r="I165" s="170">
        <v>54484.91</v>
      </c>
      <c r="J165" s="171">
        <f t="shared" si="71"/>
        <v>54484.91</v>
      </c>
      <c r="K165" s="202">
        <v>76404.41</v>
      </c>
      <c r="L165" s="171">
        <v>0</v>
      </c>
      <c r="M165" s="197">
        <v>58423.51</v>
      </c>
      <c r="N165" s="171">
        <f t="shared" si="65"/>
        <v>58423.51</v>
      </c>
      <c r="O165" s="202">
        <v>78628.350000000006</v>
      </c>
      <c r="P165" s="238">
        <v>0</v>
      </c>
      <c r="Q165" s="197">
        <v>65407.33</v>
      </c>
      <c r="R165" s="171">
        <f t="shared" si="66"/>
        <v>65407.33</v>
      </c>
      <c r="S165" s="202">
        <v>93795.69</v>
      </c>
      <c r="T165" s="238">
        <v>0</v>
      </c>
      <c r="U165" s="238">
        <v>66405.180000000008</v>
      </c>
      <c r="V165" s="171">
        <f t="shared" si="67"/>
        <v>66405.180000000008</v>
      </c>
      <c r="W165" s="56">
        <v>92324.27</v>
      </c>
      <c r="X165" s="568">
        <f t="shared" si="57"/>
        <v>0</v>
      </c>
      <c r="Y165" s="569">
        <v>69630.61</v>
      </c>
      <c r="Z165" s="171">
        <f t="shared" si="68"/>
        <v>69630.61</v>
      </c>
      <c r="AA165" s="48">
        <v>90674.37</v>
      </c>
      <c r="AB165" s="238">
        <f t="shared" si="58"/>
        <v>0</v>
      </c>
      <c r="AC165" s="238">
        <v>67422.600000000006</v>
      </c>
      <c r="AD165" s="171">
        <f t="shared" si="69"/>
        <v>67422.600000000006</v>
      </c>
      <c r="AE165" s="238"/>
      <c r="AF165" s="238">
        <f t="shared" si="59"/>
        <v>0</v>
      </c>
      <c r="AG165" s="196">
        <v>157</v>
      </c>
      <c r="AH165" s="73" t="s">
        <v>482</v>
      </c>
      <c r="AI165" s="139" t="s">
        <v>483</v>
      </c>
      <c r="AJ165" s="238">
        <f t="shared" si="60"/>
        <v>0</v>
      </c>
      <c r="AK165" s="238"/>
      <c r="AL165" s="358" t="s">
        <v>482</v>
      </c>
      <c r="AM165" s="48">
        <v>90674.37</v>
      </c>
      <c r="AN165" s="238" t="s">
        <v>482</v>
      </c>
      <c r="AO165" s="238">
        <v>67422.600000000006</v>
      </c>
      <c r="AQ165" s="472">
        <f t="shared" si="61"/>
        <v>0</v>
      </c>
      <c r="AS165" t="s">
        <v>482</v>
      </c>
      <c r="AT165" t="s">
        <v>1823</v>
      </c>
      <c r="AU165" s="48">
        <v>57694.559999999998</v>
      </c>
      <c r="AV165" s="48">
        <v>4470.8900000000003</v>
      </c>
      <c r="AW165" s="48">
        <v>1313.52</v>
      </c>
      <c r="AX165" s="48">
        <v>0</v>
      </c>
      <c r="AY165" s="48">
        <v>0</v>
      </c>
      <c r="AZ165" s="48">
        <v>2963.12</v>
      </c>
      <c r="BA165" s="48">
        <v>154.16999999999999</v>
      </c>
      <c r="BB165" s="48">
        <v>494.88</v>
      </c>
      <c r="BC165" s="48">
        <v>331.46</v>
      </c>
      <c r="BD165" s="48">
        <v>0</v>
      </c>
      <c r="BE165" s="48"/>
      <c r="BF165" s="48">
        <f t="shared" si="56"/>
        <v>67422.600000000006</v>
      </c>
      <c r="BG165" s="48"/>
      <c r="BH165" s="48"/>
      <c r="BI165" s="48" t="str">
        <f t="shared" si="62"/>
        <v>24350</v>
      </c>
      <c r="BJ165" s="48">
        <f t="shared" si="63"/>
        <v>67422.600000000006</v>
      </c>
      <c r="BK165" s="628">
        <f t="shared" si="64"/>
        <v>0</v>
      </c>
    </row>
    <row r="166" spans="1:63">
      <c r="A166" s="196">
        <v>159</v>
      </c>
      <c r="B166" s="73" t="s">
        <v>560</v>
      </c>
      <c r="C166" s="139" t="s">
        <v>561</v>
      </c>
      <c r="D166" s="168">
        <v>5742.67</v>
      </c>
      <c r="E166" s="170">
        <v>11765.5</v>
      </c>
      <c r="F166" s="171">
        <f t="shared" si="70"/>
        <v>17508.169999999998</v>
      </c>
      <c r="G166" s="181"/>
      <c r="H166" s="178">
        <v>17508.169999999998</v>
      </c>
      <c r="I166" s="170">
        <v>17985.120000000003</v>
      </c>
      <c r="J166" s="171">
        <f t="shared" si="71"/>
        <v>35493.29</v>
      </c>
      <c r="K166" s="202"/>
      <c r="L166" s="171">
        <v>35493.29</v>
      </c>
      <c r="M166" s="197">
        <v>18110.79</v>
      </c>
      <c r="N166" s="171">
        <f t="shared" si="65"/>
        <v>53604.08</v>
      </c>
      <c r="O166" s="202"/>
      <c r="P166" s="238">
        <v>53604.08</v>
      </c>
      <c r="Q166" s="197">
        <v>19263.18</v>
      </c>
      <c r="R166" s="171">
        <f t="shared" si="66"/>
        <v>72867.260000000009</v>
      </c>
      <c r="S166" s="202">
        <v>17244.59</v>
      </c>
      <c r="T166" s="238">
        <v>55622.670000000013</v>
      </c>
      <c r="U166" s="238">
        <v>19199.190000000002</v>
      </c>
      <c r="V166" s="171">
        <f t="shared" si="67"/>
        <v>74821.860000000015</v>
      </c>
      <c r="W166" s="56">
        <v>11171.2</v>
      </c>
      <c r="X166" s="568">
        <f t="shared" si="57"/>
        <v>63650.660000000018</v>
      </c>
      <c r="Y166" s="569">
        <v>19966.009999999998</v>
      </c>
      <c r="Z166" s="171">
        <f t="shared" si="68"/>
        <v>83616.670000000013</v>
      </c>
      <c r="AA166" s="48">
        <v>14854.890000000001</v>
      </c>
      <c r="AB166" s="238">
        <f t="shared" si="58"/>
        <v>68761.780000000013</v>
      </c>
      <c r="AC166" s="238">
        <v>19790.64</v>
      </c>
      <c r="AD166" s="171">
        <f t="shared" si="69"/>
        <v>88552.420000000013</v>
      </c>
      <c r="AE166" s="238"/>
      <c r="AF166" s="238">
        <f t="shared" si="59"/>
        <v>0</v>
      </c>
      <c r="AG166" s="196">
        <v>158</v>
      </c>
      <c r="AH166" s="73" t="s">
        <v>560</v>
      </c>
      <c r="AI166" s="139" t="s">
        <v>561</v>
      </c>
      <c r="AJ166" s="238">
        <f t="shared" si="60"/>
        <v>0</v>
      </c>
      <c r="AK166" s="238"/>
      <c r="AL166" s="358" t="s">
        <v>560</v>
      </c>
      <c r="AM166" s="48">
        <v>14854.890000000001</v>
      </c>
      <c r="AN166" s="238" t="s">
        <v>560</v>
      </c>
      <c r="AO166" s="238">
        <v>19790.64</v>
      </c>
      <c r="AQ166" s="472">
        <f t="shared" si="61"/>
        <v>0</v>
      </c>
      <c r="AS166" t="s">
        <v>560</v>
      </c>
      <c r="AT166" t="s">
        <v>1862</v>
      </c>
      <c r="AU166" s="48">
        <v>19536.27</v>
      </c>
      <c r="AV166" s="48">
        <v>13.87</v>
      </c>
      <c r="AW166" s="48">
        <v>0</v>
      </c>
      <c r="AX166" s="48">
        <v>0</v>
      </c>
      <c r="AY166" s="48">
        <v>0</v>
      </c>
      <c r="AZ166" s="48">
        <v>217.38</v>
      </c>
      <c r="BA166" s="48">
        <v>0</v>
      </c>
      <c r="BB166" s="48">
        <v>0</v>
      </c>
      <c r="BC166" s="48">
        <v>23.12</v>
      </c>
      <c r="BD166" s="48">
        <v>0</v>
      </c>
      <c r="BE166" s="48"/>
      <c r="BF166" s="48">
        <f t="shared" si="56"/>
        <v>19790.64</v>
      </c>
      <c r="BG166" s="48"/>
      <c r="BH166" s="48"/>
      <c r="BI166" s="48" t="str">
        <f t="shared" si="62"/>
        <v>30031</v>
      </c>
      <c r="BJ166" s="48">
        <f t="shared" si="63"/>
        <v>19790.64</v>
      </c>
      <c r="BK166" s="628">
        <f t="shared" si="64"/>
        <v>0</v>
      </c>
    </row>
    <row r="167" spans="1:63">
      <c r="A167" s="196">
        <v>160</v>
      </c>
      <c r="B167" s="73" t="s">
        <v>578</v>
      </c>
      <c r="C167" s="139" t="s">
        <v>579</v>
      </c>
      <c r="D167" s="168">
        <v>0</v>
      </c>
      <c r="E167" s="170">
        <v>412061.2</v>
      </c>
      <c r="F167" s="171">
        <f t="shared" si="70"/>
        <v>412061.2</v>
      </c>
      <c r="G167" s="181">
        <v>412061.2</v>
      </c>
      <c r="H167" s="178">
        <v>0</v>
      </c>
      <c r="I167" s="170">
        <v>559439.15</v>
      </c>
      <c r="J167" s="171">
        <f t="shared" si="71"/>
        <v>559439.15</v>
      </c>
      <c r="K167" s="202">
        <v>559345.38</v>
      </c>
      <c r="L167" s="171">
        <v>93.770000000018626</v>
      </c>
      <c r="M167" s="197">
        <v>546604.54</v>
      </c>
      <c r="N167" s="171">
        <f t="shared" si="65"/>
        <v>546698.31000000006</v>
      </c>
      <c r="O167" s="202">
        <v>567070.34</v>
      </c>
      <c r="P167" s="238">
        <v>0</v>
      </c>
      <c r="Q167" s="197">
        <v>574723.44000000006</v>
      </c>
      <c r="R167" s="171">
        <f t="shared" si="66"/>
        <v>574723.44000000006</v>
      </c>
      <c r="S167" s="202">
        <v>615778.58000000007</v>
      </c>
      <c r="T167" s="238">
        <v>0</v>
      </c>
      <c r="U167" s="238">
        <v>584414.21</v>
      </c>
      <c r="V167" s="171">
        <f t="shared" si="67"/>
        <v>584414.21</v>
      </c>
      <c r="W167" s="56">
        <v>636726.76000000024</v>
      </c>
      <c r="X167" s="568">
        <f t="shared" si="57"/>
        <v>0</v>
      </c>
      <c r="Y167" s="569">
        <v>627836.83000000007</v>
      </c>
      <c r="Z167" s="171">
        <f t="shared" si="68"/>
        <v>627836.83000000007</v>
      </c>
      <c r="AA167" s="48">
        <v>690248.13999999978</v>
      </c>
      <c r="AB167" s="238">
        <f t="shared" si="58"/>
        <v>0</v>
      </c>
      <c r="AC167" s="238">
        <v>601796.48</v>
      </c>
      <c r="AD167" s="171">
        <f t="shared" si="69"/>
        <v>601796.48</v>
      </c>
      <c r="AE167" s="238"/>
      <c r="AF167" s="238">
        <f t="shared" si="59"/>
        <v>0</v>
      </c>
      <c r="AG167" s="196">
        <v>159</v>
      </c>
      <c r="AH167" s="73" t="s">
        <v>578</v>
      </c>
      <c r="AI167" s="139" t="s">
        <v>579</v>
      </c>
      <c r="AJ167" s="238">
        <f t="shared" si="60"/>
        <v>0</v>
      </c>
      <c r="AK167" s="238"/>
      <c r="AL167" s="358" t="s">
        <v>578</v>
      </c>
      <c r="AM167" s="48">
        <v>690248.13999999978</v>
      </c>
      <c r="AN167" s="238" t="s">
        <v>578</v>
      </c>
      <c r="AO167" s="238">
        <v>601796.48</v>
      </c>
      <c r="AQ167" s="472">
        <f t="shared" si="61"/>
        <v>0</v>
      </c>
      <c r="AS167" t="s">
        <v>578</v>
      </c>
      <c r="AT167" t="s">
        <v>1871</v>
      </c>
      <c r="AU167" s="48">
        <v>423413.08</v>
      </c>
      <c r="AV167" s="48">
        <v>30547.85</v>
      </c>
      <c r="AW167" s="48">
        <v>7689.72</v>
      </c>
      <c r="AX167" s="48">
        <v>0</v>
      </c>
      <c r="AY167" s="48">
        <v>79264.789999999994</v>
      </c>
      <c r="AZ167" s="48">
        <v>24288.01</v>
      </c>
      <c r="BA167" s="48">
        <v>3098.08</v>
      </c>
      <c r="BB167" s="48">
        <v>23958.75</v>
      </c>
      <c r="BC167" s="48">
        <v>2928.9</v>
      </c>
      <c r="BD167" s="48">
        <v>6607.3</v>
      </c>
      <c r="BE167" s="48"/>
      <c r="BF167" s="48">
        <f t="shared" si="56"/>
        <v>601796.48</v>
      </c>
      <c r="BG167" s="48"/>
      <c r="BH167" s="48"/>
      <c r="BI167" s="48" t="str">
        <f t="shared" si="62"/>
        <v>31103</v>
      </c>
      <c r="BJ167" s="48">
        <f t="shared" si="63"/>
        <v>601796.48</v>
      </c>
      <c r="BK167" s="628">
        <f t="shared" si="64"/>
        <v>0</v>
      </c>
    </row>
    <row r="168" spans="1:63">
      <c r="A168" s="196">
        <v>161</v>
      </c>
      <c r="B168" s="73" t="s">
        <v>305</v>
      </c>
      <c r="C168" s="139" t="s">
        <v>306</v>
      </c>
      <c r="D168" s="168">
        <v>4177.2800000000061</v>
      </c>
      <c r="E168" s="170">
        <v>88486.040000000008</v>
      </c>
      <c r="F168" s="171">
        <f t="shared" si="70"/>
        <v>92663.32</v>
      </c>
      <c r="G168" s="181">
        <v>96892.31</v>
      </c>
      <c r="H168" s="178">
        <v>0</v>
      </c>
      <c r="I168" s="170">
        <v>123921.54</v>
      </c>
      <c r="J168" s="171">
        <f t="shared" si="71"/>
        <v>123921.54</v>
      </c>
      <c r="K168" s="202">
        <v>182088.69</v>
      </c>
      <c r="L168" s="171">
        <v>0</v>
      </c>
      <c r="M168" s="197">
        <v>125254.57999999999</v>
      </c>
      <c r="N168" s="171">
        <f t="shared" si="65"/>
        <v>125254.57999999999</v>
      </c>
      <c r="O168" s="202">
        <v>161704.56</v>
      </c>
      <c r="P168" s="238">
        <v>0</v>
      </c>
      <c r="Q168" s="197">
        <v>140510.74</v>
      </c>
      <c r="R168" s="171">
        <f t="shared" si="66"/>
        <v>140510.74</v>
      </c>
      <c r="S168" s="202">
        <v>193719.98</v>
      </c>
      <c r="T168" s="238">
        <v>0</v>
      </c>
      <c r="U168" s="238">
        <v>144944.43</v>
      </c>
      <c r="V168" s="171">
        <f t="shared" si="67"/>
        <v>144944.43</v>
      </c>
      <c r="W168" s="56">
        <v>174309.47999999998</v>
      </c>
      <c r="X168" s="568">
        <f t="shared" si="57"/>
        <v>0</v>
      </c>
      <c r="Y168" s="569">
        <v>158329.28000000003</v>
      </c>
      <c r="Z168" s="171">
        <f t="shared" si="68"/>
        <v>158329.28000000003</v>
      </c>
      <c r="AA168" s="48">
        <v>197454.54</v>
      </c>
      <c r="AB168" s="238">
        <f t="shared" si="58"/>
        <v>0</v>
      </c>
      <c r="AC168" s="238">
        <v>155256.97999999998</v>
      </c>
      <c r="AD168" s="171">
        <f t="shared" si="69"/>
        <v>155256.97999999998</v>
      </c>
      <c r="AE168" s="238"/>
      <c r="AF168" s="238">
        <f t="shared" si="59"/>
        <v>0</v>
      </c>
      <c r="AG168" s="196">
        <v>160</v>
      </c>
      <c r="AH168" s="73" t="s">
        <v>305</v>
      </c>
      <c r="AI168" s="139" t="s">
        <v>306</v>
      </c>
      <c r="AJ168" s="238">
        <f t="shared" si="60"/>
        <v>0</v>
      </c>
      <c r="AK168" s="238"/>
      <c r="AL168" s="358" t="s">
        <v>305</v>
      </c>
      <c r="AM168" s="48">
        <v>197454.54</v>
      </c>
      <c r="AN168" s="238" t="s">
        <v>305</v>
      </c>
      <c r="AO168" s="238">
        <v>155256.97999999998</v>
      </c>
      <c r="AQ168" s="472">
        <f t="shared" si="61"/>
        <v>0</v>
      </c>
      <c r="AS168" t="s">
        <v>305</v>
      </c>
      <c r="AT168" t="s">
        <v>1732</v>
      </c>
      <c r="AU168" s="48">
        <v>103985.58</v>
      </c>
      <c r="AV168" s="48">
        <v>10729.65</v>
      </c>
      <c r="AW168" s="48">
        <v>2539.71</v>
      </c>
      <c r="AX168" s="48">
        <v>0</v>
      </c>
      <c r="AY168" s="48">
        <v>24622.03</v>
      </c>
      <c r="AZ168" s="48">
        <v>5929.21</v>
      </c>
      <c r="BA168" s="48">
        <v>0</v>
      </c>
      <c r="BB168" s="48">
        <v>992.48</v>
      </c>
      <c r="BC168" s="48">
        <v>633.33000000000004</v>
      </c>
      <c r="BD168" s="48">
        <v>5824.99</v>
      </c>
      <c r="BE168" s="48"/>
      <c r="BF168" s="48">
        <f t="shared" si="56"/>
        <v>155256.97999999998</v>
      </c>
      <c r="BG168" s="48"/>
      <c r="BH168" s="48"/>
      <c r="BI168" s="48" t="str">
        <f t="shared" si="62"/>
        <v>14066</v>
      </c>
      <c r="BJ168" s="48">
        <f t="shared" si="63"/>
        <v>155256.97999999998</v>
      </c>
      <c r="BK168" s="628">
        <f t="shared" si="64"/>
        <v>0</v>
      </c>
    </row>
    <row r="169" spans="1:63">
      <c r="A169" s="196">
        <v>162</v>
      </c>
      <c r="B169" s="73" t="s">
        <v>422</v>
      </c>
      <c r="C169" s="139" t="s">
        <v>423</v>
      </c>
      <c r="D169" s="168">
        <v>1375.7399999999998</v>
      </c>
      <c r="E169" s="170">
        <v>26387.54</v>
      </c>
      <c r="F169" s="171">
        <f t="shared" si="70"/>
        <v>27763.279999999999</v>
      </c>
      <c r="G169" s="181">
        <v>21697.360000000001</v>
      </c>
      <c r="H169" s="178">
        <v>6065.9199999999983</v>
      </c>
      <c r="I169" s="170">
        <v>37519.370000000003</v>
      </c>
      <c r="J169" s="171">
        <f t="shared" si="71"/>
        <v>43585.29</v>
      </c>
      <c r="K169" s="202">
        <v>39280.230000000003</v>
      </c>
      <c r="L169" s="171">
        <v>4305.0599999999977</v>
      </c>
      <c r="M169" s="197">
        <v>42933.340000000004</v>
      </c>
      <c r="N169" s="171">
        <f t="shared" si="65"/>
        <v>47238.400000000001</v>
      </c>
      <c r="O169" s="202">
        <v>42716.95</v>
      </c>
      <c r="P169" s="238">
        <v>4521.4500000000044</v>
      </c>
      <c r="Q169" s="197">
        <v>50113.02</v>
      </c>
      <c r="R169" s="171">
        <f t="shared" si="66"/>
        <v>54634.47</v>
      </c>
      <c r="S169" s="202">
        <v>55635.630000000005</v>
      </c>
      <c r="T169" s="238">
        <v>0</v>
      </c>
      <c r="U169" s="238">
        <v>49444.759999999995</v>
      </c>
      <c r="V169" s="171">
        <f t="shared" si="67"/>
        <v>49444.759999999995</v>
      </c>
      <c r="W169" s="56">
        <v>49444.760000000009</v>
      </c>
      <c r="X169" s="568">
        <f t="shared" si="57"/>
        <v>0</v>
      </c>
      <c r="Y169" s="569">
        <v>55687.049999999996</v>
      </c>
      <c r="Z169" s="171">
        <f t="shared" si="68"/>
        <v>55687.049999999996</v>
      </c>
      <c r="AA169" s="48">
        <v>54451.66</v>
      </c>
      <c r="AB169" s="238">
        <f t="shared" si="58"/>
        <v>1235.3899999999921</v>
      </c>
      <c r="AC169" s="238">
        <v>51232.2</v>
      </c>
      <c r="AD169" s="171">
        <f t="shared" si="69"/>
        <v>52467.589999999989</v>
      </c>
      <c r="AE169" s="238"/>
      <c r="AF169" s="238">
        <f t="shared" si="59"/>
        <v>0</v>
      </c>
      <c r="AG169" s="196">
        <v>161</v>
      </c>
      <c r="AH169" s="73" t="s">
        <v>422</v>
      </c>
      <c r="AI169" s="139" t="s">
        <v>423</v>
      </c>
      <c r="AJ169" s="238">
        <f t="shared" si="60"/>
        <v>0</v>
      </c>
      <c r="AK169" s="238"/>
      <c r="AL169" s="358" t="s">
        <v>422</v>
      </c>
      <c r="AM169" s="48">
        <v>54451.66</v>
      </c>
      <c r="AN169" s="238" t="s">
        <v>422</v>
      </c>
      <c r="AO169" s="238">
        <v>51232.2</v>
      </c>
      <c r="AQ169" s="472">
        <f t="shared" si="61"/>
        <v>0</v>
      </c>
      <c r="AS169" t="s">
        <v>422</v>
      </c>
      <c r="AT169" t="s">
        <v>1794</v>
      </c>
      <c r="AU169" s="48">
        <v>28400.959999999999</v>
      </c>
      <c r="AV169" s="48">
        <v>7947.39</v>
      </c>
      <c r="AW169" s="48">
        <v>4552.6000000000004</v>
      </c>
      <c r="AX169" s="48">
        <v>0</v>
      </c>
      <c r="AY169" s="48">
        <v>3555.53</v>
      </c>
      <c r="AZ169" s="48">
        <v>2383.4499999999998</v>
      </c>
      <c r="BA169" s="48">
        <v>1782.19</v>
      </c>
      <c r="BB169" s="48">
        <v>0</v>
      </c>
      <c r="BC169" s="48">
        <v>172.67</v>
      </c>
      <c r="BD169" s="48">
        <v>2437.41</v>
      </c>
      <c r="BE169" s="48"/>
      <c r="BF169" s="48">
        <f t="shared" si="56"/>
        <v>51232.2</v>
      </c>
      <c r="BG169" s="48"/>
      <c r="BH169" s="48"/>
      <c r="BI169" s="48" t="str">
        <f t="shared" si="62"/>
        <v>21214</v>
      </c>
      <c r="BJ169" s="48">
        <f t="shared" si="63"/>
        <v>51232.2</v>
      </c>
      <c r="BK169" s="628">
        <f t="shared" si="64"/>
        <v>0</v>
      </c>
    </row>
    <row r="170" spans="1:63">
      <c r="A170" s="196">
        <v>163</v>
      </c>
      <c r="B170" s="73" t="s">
        <v>289</v>
      </c>
      <c r="C170" s="139" t="s">
        <v>290</v>
      </c>
      <c r="D170" s="168">
        <v>91109.920000000013</v>
      </c>
      <c r="E170" s="170">
        <v>587216.43999999994</v>
      </c>
      <c r="F170" s="171">
        <f t="shared" si="70"/>
        <v>678326.36</v>
      </c>
      <c r="G170" s="181">
        <v>395684.08</v>
      </c>
      <c r="H170" s="178">
        <v>282642.27999999997</v>
      </c>
      <c r="I170" s="170">
        <v>836257.8899999999</v>
      </c>
      <c r="J170" s="171">
        <f t="shared" si="71"/>
        <v>1118900.17</v>
      </c>
      <c r="K170" s="202">
        <v>788265.67</v>
      </c>
      <c r="L170" s="171">
        <v>330634.49999999988</v>
      </c>
      <c r="M170" s="197">
        <v>847676.63</v>
      </c>
      <c r="N170" s="171">
        <f t="shared" si="65"/>
        <v>1178311.1299999999</v>
      </c>
      <c r="O170" s="202">
        <v>921263.11</v>
      </c>
      <c r="P170" s="238">
        <v>257048.0199999999</v>
      </c>
      <c r="Q170" s="197">
        <v>927474.69</v>
      </c>
      <c r="R170" s="171">
        <f t="shared" si="66"/>
        <v>1184522.71</v>
      </c>
      <c r="S170" s="202">
        <v>1087245.5699999998</v>
      </c>
      <c r="T170" s="238">
        <v>97277.14000000013</v>
      </c>
      <c r="U170" s="238">
        <v>944313.54</v>
      </c>
      <c r="V170" s="171">
        <f t="shared" si="67"/>
        <v>1041590.6800000002</v>
      </c>
      <c r="W170" s="56">
        <v>1519793.02</v>
      </c>
      <c r="X170" s="568">
        <f t="shared" si="57"/>
        <v>0</v>
      </c>
      <c r="Y170" s="569">
        <v>958065.30000000016</v>
      </c>
      <c r="Z170" s="171">
        <f t="shared" si="68"/>
        <v>958065.30000000016</v>
      </c>
      <c r="AA170" s="48">
        <v>238075.59000000008</v>
      </c>
      <c r="AB170" s="238">
        <f t="shared" si="58"/>
        <v>719989.71000000008</v>
      </c>
      <c r="AC170" s="238">
        <v>957855.59</v>
      </c>
      <c r="AD170" s="171">
        <f t="shared" si="69"/>
        <v>1677845.3</v>
      </c>
      <c r="AE170" s="238"/>
      <c r="AF170" s="238">
        <f t="shared" si="59"/>
        <v>0</v>
      </c>
      <c r="AG170" s="196">
        <v>162</v>
      </c>
      <c r="AH170" s="73" t="s">
        <v>289</v>
      </c>
      <c r="AI170" s="139" t="s">
        <v>290</v>
      </c>
      <c r="AJ170" s="238">
        <f t="shared" si="60"/>
        <v>0</v>
      </c>
      <c r="AK170" s="238"/>
      <c r="AL170" s="358" t="s">
        <v>289</v>
      </c>
      <c r="AM170" s="48">
        <v>238075.59000000008</v>
      </c>
      <c r="AN170" s="238" t="s">
        <v>289</v>
      </c>
      <c r="AO170" s="238">
        <v>957855.59</v>
      </c>
      <c r="AQ170" s="472">
        <f t="shared" si="61"/>
        <v>0</v>
      </c>
      <c r="AS170" t="s">
        <v>289</v>
      </c>
      <c r="AT170" t="s">
        <v>1724</v>
      </c>
      <c r="AU170" s="48">
        <v>595478.28</v>
      </c>
      <c r="AV170" s="48">
        <v>52963.12</v>
      </c>
      <c r="AW170" s="48">
        <v>7053.23</v>
      </c>
      <c r="AX170" s="48">
        <v>31732.55</v>
      </c>
      <c r="AY170" s="48">
        <v>151792.07</v>
      </c>
      <c r="AZ170" s="48">
        <v>52721.08</v>
      </c>
      <c r="BA170" s="48">
        <v>33434.58</v>
      </c>
      <c r="BB170" s="48">
        <v>28999.13</v>
      </c>
      <c r="BC170" s="48">
        <v>3681.55</v>
      </c>
      <c r="BD170" s="48">
        <v>0</v>
      </c>
      <c r="BE170" s="48"/>
      <c r="BF170" s="48">
        <f t="shared" si="56"/>
        <v>957855.59</v>
      </c>
      <c r="BG170" s="48"/>
      <c r="BH170" s="48"/>
      <c r="BI170" s="48" t="str">
        <f t="shared" si="62"/>
        <v>13161</v>
      </c>
      <c r="BJ170" s="48">
        <f t="shared" si="63"/>
        <v>957855.59</v>
      </c>
      <c r="BK170" s="628">
        <f t="shared" si="64"/>
        <v>0</v>
      </c>
    </row>
    <row r="171" spans="1:63">
      <c r="A171" s="196">
        <v>164</v>
      </c>
      <c r="B171" s="73" t="s">
        <v>420</v>
      </c>
      <c r="C171" s="139" t="s">
        <v>421</v>
      </c>
      <c r="D171" s="168">
        <v>1751.2099999999991</v>
      </c>
      <c r="E171" s="170">
        <v>39822.659999999996</v>
      </c>
      <c r="F171" s="171">
        <f t="shared" si="70"/>
        <v>41573.869999999995</v>
      </c>
      <c r="G171" s="181"/>
      <c r="H171" s="178">
        <v>41573.869999999995</v>
      </c>
      <c r="I171" s="170">
        <v>58944.479999999996</v>
      </c>
      <c r="J171" s="171">
        <f t="shared" si="71"/>
        <v>100518.34999999999</v>
      </c>
      <c r="K171" s="202">
        <v>79170.399999999994</v>
      </c>
      <c r="L171" s="171">
        <v>21347.949999999997</v>
      </c>
      <c r="M171" s="197">
        <v>58443.850000000006</v>
      </c>
      <c r="N171" s="171">
        <f t="shared" si="65"/>
        <v>79791.8</v>
      </c>
      <c r="O171" s="202">
        <v>79136.55</v>
      </c>
      <c r="P171" s="238">
        <v>655.25</v>
      </c>
      <c r="Q171" s="197">
        <v>65165.549999999996</v>
      </c>
      <c r="R171" s="171">
        <f t="shared" si="66"/>
        <v>65820.799999999988</v>
      </c>
      <c r="S171" s="202">
        <v>74215.490000000005</v>
      </c>
      <c r="T171" s="238">
        <v>0</v>
      </c>
      <c r="U171" s="238">
        <v>68914.959999999992</v>
      </c>
      <c r="V171" s="171">
        <f t="shared" si="67"/>
        <v>68914.959999999992</v>
      </c>
      <c r="W171" s="56">
        <v>87958.78</v>
      </c>
      <c r="X171" s="568">
        <f t="shared" si="57"/>
        <v>0</v>
      </c>
      <c r="Y171" s="569">
        <v>77287.89</v>
      </c>
      <c r="Z171" s="171">
        <f t="shared" si="68"/>
        <v>77287.89</v>
      </c>
      <c r="AA171" s="48">
        <v>95649.23</v>
      </c>
      <c r="AB171" s="238">
        <f t="shared" si="58"/>
        <v>0</v>
      </c>
      <c r="AC171" s="238">
        <v>74447.630000000019</v>
      </c>
      <c r="AD171" s="171">
        <f t="shared" si="69"/>
        <v>74447.630000000019</v>
      </c>
      <c r="AE171" s="238"/>
      <c r="AF171" s="238">
        <f t="shared" si="59"/>
        <v>0</v>
      </c>
      <c r="AG171" s="196">
        <v>163</v>
      </c>
      <c r="AH171" s="73" t="s">
        <v>420</v>
      </c>
      <c r="AI171" s="139" t="s">
        <v>421</v>
      </c>
      <c r="AJ171" s="238">
        <f t="shared" si="60"/>
        <v>0</v>
      </c>
      <c r="AK171" s="238"/>
      <c r="AL171" s="358" t="s">
        <v>420</v>
      </c>
      <c r="AM171" s="48">
        <v>95649.23</v>
      </c>
      <c r="AN171" s="238" t="s">
        <v>420</v>
      </c>
      <c r="AO171" s="238">
        <v>74447.630000000019</v>
      </c>
      <c r="AQ171" s="472">
        <f t="shared" si="61"/>
        <v>0</v>
      </c>
      <c r="AS171" t="s">
        <v>420</v>
      </c>
      <c r="AT171" t="s">
        <v>1793</v>
      </c>
      <c r="AU171" s="48">
        <v>48728.11</v>
      </c>
      <c r="AV171" s="48">
        <v>3744.76</v>
      </c>
      <c r="AW171" s="48">
        <v>999.01</v>
      </c>
      <c r="AX171" s="48">
        <v>0</v>
      </c>
      <c r="AY171" s="48">
        <v>9092.42</v>
      </c>
      <c r="AZ171" s="48">
        <v>3959.05</v>
      </c>
      <c r="BA171" s="48">
        <v>2912.25</v>
      </c>
      <c r="BB171" s="48">
        <v>1698.94</v>
      </c>
      <c r="BC171" s="48">
        <v>254.38</v>
      </c>
      <c r="BD171" s="48">
        <v>3058.71</v>
      </c>
      <c r="BE171" s="48"/>
      <c r="BF171" s="48">
        <f t="shared" si="56"/>
        <v>74447.630000000019</v>
      </c>
      <c r="BG171" s="48"/>
      <c r="BH171" s="48"/>
      <c r="BI171" s="48" t="str">
        <f t="shared" si="62"/>
        <v>21206</v>
      </c>
      <c r="BJ171" s="48">
        <f t="shared" si="63"/>
        <v>74447.630000000019</v>
      </c>
      <c r="BK171" s="628">
        <f t="shared" si="64"/>
        <v>0</v>
      </c>
    </row>
    <row r="172" spans="1:63">
      <c r="A172" s="196">
        <v>165</v>
      </c>
      <c r="B172" s="73" t="s">
        <v>737</v>
      </c>
      <c r="C172" s="139" t="s">
        <v>738</v>
      </c>
      <c r="D172" s="168">
        <v>6381.3899999999994</v>
      </c>
      <c r="E172" s="170">
        <v>62411</v>
      </c>
      <c r="F172" s="171">
        <f t="shared" si="70"/>
        <v>68792.39</v>
      </c>
      <c r="G172" s="181">
        <v>44379.64</v>
      </c>
      <c r="H172" s="179">
        <v>24412.75</v>
      </c>
      <c r="I172" s="170">
        <v>82710.649999999994</v>
      </c>
      <c r="J172" s="171">
        <f t="shared" si="71"/>
        <v>107123.4</v>
      </c>
      <c r="K172" s="202">
        <v>91062</v>
      </c>
      <c r="L172" s="171">
        <v>16061.399999999994</v>
      </c>
      <c r="M172" s="197">
        <v>83884.489999999991</v>
      </c>
      <c r="N172" s="171">
        <f t="shared" si="65"/>
        <v>99945.889999999985</v>
      </c>
      <c r="O172" s="202">
        <v>87901.430000000008</v>
      </c>
      <c r="P172" s="238">
        <v>12044.459999999977</v>
      </c>
      <c r="Q172" s="197">
        <v>97046.069999999992</v>
      </c>
      <c r="R172" s="171">
        <f t="shared" si="66"/>
        <v>109090.52999999997</v>
      </c>
      <c r="S172" s="202">
        <v>101974.83</v>
      </c>
      <c r="T172" s="238">
        <v>7115.699999999968</v>
      </c>
      <c r="U172" s="238">
        <v>99115.1</v>
      </c>
      <c r="V172" s="171">
        <f t="shared" si="67"/>
        <v>106230.79999999997</v>
      </c>
      <c r="W172" s="56">
        <v>105288.5</v>
      </c>
      <c r="X172" s="568">
        <f t="shared" si="57"/>
        <v>942.29999999997381</v>
      </c>
      <c r="Y172" s="569">
        <v>99295.64</v>
      </c>
      <c r="Z172" s="171">
        <f t="shared" si="68"/>
        <v>100237.93999999997</v>
      </c>
      <c r="AA172" s="48">
        <v>108243.34</v>
      </c>
      <c r="AB172" s="238">
        <f t="shared" si="58"/>
        <v>0</v>
      </c>
      <c r="AC172" s="238">
        <v>95816.37</v>
      </c>
      <c r="AD172" s="171">
        <f t="shared" si="69"/>
        <v>95816.37</v>
      </c>
      <c r="AE172" s="238"/>
      <c r="AF172" s="238">
        <f t="shared" si="59"/>
        <v>0</v>
      </c>
      <c r="AG172" s="196">
        <v>164</v>
      </c>
      <c r="AH172" s="73" t="s">
        <v>737</v>
      </c>
      <c r="AI172" s="139" t="s">
        <v>738</v>
      </c>
      <c r="AJ172" s="238">
        <f t="shared" si="60"/>
        <v>0</v>
      </c>
      <c r="AK172" s="238"/>
      <c r="AL172" s="358" t="s">
        <v>737</v>
      </c>
      <c r="AM172" s="48">
        <v>108243.34</v>
      </c>
      <c r="AN172" s="238" t="s">
        <v>737</v>
      </c>
      <c r="AO172" s="238">
        <v>95816.37</v>
      </c>
      <c r="AQ172" s="472">
        <f t="shared" si="61"/>
        <v>0</v>
      </c>
      <c r="AS172" t="s">
        <v>737</v>
      </c>
      <c r="AT172" t="s">
        <v>1956</v>
      </c>
      <c r="AU172" s="48">
        <v>63710.23</v>
      </c>
      <c r="AV172" s="48">
        <v>5779.78</v>
      </c>
      <c r="AW172" s="48">
        <v>0</v>
      </c>
      <c r="AX172" s="48">
        <v>0</v>
      </c>
      <c r="AY172" s="48">
        <v>11247.11</v>
      </c>
      <c r="AZ172" s="48">
        <v>8116.98</v>
      </c>
      <c r="BA172" s="48">
        <v>3738.59</v>
      </c>
      <c r="BB172" s="48">
        <v>2876.79</v>
      </c>
      <c r="BC172" s="48">
        <v>346.89</v>
      </c>
      <c r="BD172" s="48">
        <v>0</v>
      </c>
      <c r="BE172" s="48"/>
      <c r="BF172" s="48">
        <f t="shared" si="56"/>
        <v>95816.37</v>
      </c>
      <c r="BG172" s="48"/>
      <c r="BH172" s="48"/>
      <c r="BI172" s="48" t="str">
        <f t="shared" si="62"/>
        <v>39209</v>
      </c>
      <c r="BJ172" s="48">
        <f t="shared" si="63"/>
        <v>95816.37</v>
      </c>
      <c r="BK172" s="628">
        <f t="shared" si="64"/>
        <v>0</v>
      </c>
    </row>
    <row r="173" spans="1:63">
      <c r="A173" s="196">
        <v>166</v>
      </c>
      <c r="B173" s="73" t="s">
        <v>683</v>
      </c>
      <c r="C173" s="139" t="s">
        <v>684</v>
      </c>
      <c r="D173" s="168">
        <v>64193.17</v>
      </c>
      <c r="E173" s="170">
        <v>127983.13999999998</v>
      </c>
      <c r="F173" s="171">
        <f t="shared" si="70"/>
        <v>192176.31</v>
      </c>
      <c r="G173" s="181">
        <v>89724.23</v>
      </c>
      <c r="H173" s="178">
        <v>102452.08</v>
      </c>
      <c r="I173" s="170">
        <v>156697.65999999997</v>
      </c>
      <c r="J173" s="171">
        <f t="shared" si="71"/>
        <v>259149.74</v>
      </c>
      <c r="K173" s="202">
        <v>137400.75</v>
      </c>
      <c r="L173" s="171">
        <v>121748.98999999999</v>
      </c>
      <c r="M173" s="197">
        <v>165342.56</v>
      </c>
      <c r="N173" s="171">
        <f t="shared" si="65"/>
        <v>287091.55</v>
      </c>
      <c r="O173" s="202"/>
      <c r="P173" s="238">
        <v>287091.55</v>
      </c>
      <c r="Q173" s="197">
        <v>182009.48</v>
      </c>
      <c r="R173" s="171">
        <f t="shared" si="66"/>
        <v>469101.03</v>
      </c>
      <c r="S173" s="202">
        <v>105780.71</v>
      </c>
      <c r="T173" s="238">
        <v>363320.32000000001</v>
      </c>
      <c r="U173" s="238">
        <v>178840.65999999997</v>
      </c>
      <c r="V173" s="171">
        <f t="shared" si="67"/>
        <v>542160.98</v>
      </c>
      <c r="W173" s="56">
        <v>100139.88</v>
      </c>
      <c r="X173" s="568">
        <f t="shared" si="57"/>
        <v>442021.1</v>
      </c>
      <c r="Y173" s="569">
        <v>178478.87</v>
      </c>
      <c r="Z173" s="171">
        <f t="shared" si="68"/>
        <v>620499.97</v>
      </c>
      <c r="AA173" s="48">
        <v>223583.54000000012</v>
      </c>
      <c r="AB173" s="238">
        <f t="shared" si="58"/>
        <v>396916.42999999982</v>
      </c>
      <c r="AC173" s="238">
        <v>172667.46000000002</v>
      </c>
      <c r="AD173" s="171">
        <f t="shared" si="69"/>
        <v>569583.8899999999</v>
      </c>
      <c r="AE173" s="238"/>
      <c r="AF173" s="238">
        <f t="shared" si="59"/>
        <v>0</v>
      </c>
      <c r="AG173" s="196">
        <v>165</v>
      </c>
      <c r="AH173" s="73" t="s">
        <v>683</v>
      </c>
      <c r="AI173" s="139" t="s">
        <v>684</v>
      </c>
      <c r="AJ173" s="238">
        <f t="shared" si="60"/>
        <v>0</v>
      </c>
      <c r="AK173" s="238"/>
      <c r="AL173" s="358" t="s">
        <v>683</v>
      </c>
      <c r="AM173" s="48">
        <v>223583.54000000012</v>
      </c>
      <c r="AN173" s="238" t="s">
        <v>683</v>
      </c>
      <c r="AO173" s="238">
        <v>172667.46000000002</v>
      </c>
      <c r="AQ173" s="472">
        <f t="shared" si="61"/>
        <v>0</v>
      </c>
      <c r="AS173" t="s">
        <v>683</v>
      </c>
      <c r="AT173" t="s">
        <v>1927</v>
      </c>
      <c r="AU173" s="48">
        <v>121903.93</v>
      </c>
      <c r="AV173" s="48">
        <v>7943.79</v>
      </c>
      <c r="AW173" s="48">
        <v>519.66999999999996</v>
      </c>
      <c r="AX173" s="48">
        <v>0</v>
      </c>
      <c r="AY173" s="48">
        <v>26409.22</v>
      </c>
      <c r="AZ173" s="48">
        <v>9151.4500000000007</v>
      </c>
      <c r="BA173" s="48">
        <v>3652.42</v>
      </c>
      <c r="BB173" s="48">
        <v>2394.09</v>
      </c>
      <c r="BC173" s="48">
        <v>692.89</v>
      </c>
      <c r="BD173" s="48">
        <v>0</v>
      </c>
      <c r="BE173" s="48"/>
      <c r="BF173" s="48">
        <f t="shared" si="56"/>
        <v>172667.46000000002</v>
      </c>
      <c r="BG173" s="48"/>
      <c r="BH173" s="48"/>
      <c r="BI173" s="48" t="str">
        <f t="shared" si="62"/>
        <v>37507</v>
      </c>
      <c r="BJ173" s="48">
        <f t="shared" si="63"/>
        <v>172667.46000000002</v>
      </c>
      <c r="BK173" s="628">
        <f t="shared" si="64"/>
        <v>0</v>
      </c>
    </row>
    <row r="174" spans="1:63">
      <c r="A174" s="196">
        <v>167</v>
      </c>
      <c r="B174" s="73" t="s">
        <v>558</v>
      </c>
      <c r="C174" s="139" t="s">
        <v>559</v>
      </c>
      <c r="D174" s="168">
        <v>527.58999999999992</v>
      </c>
      <c r="E174" s="170">
        <v>3980.25</v>
      </c>
      <c r="F174" s="171">
        <f t="shared" si="70"/>
        <v>4507.84</v>
      </c>
      <c r="G174" s="181">
        <v>5119.32</v>
      </c>
      <c r="H174" s="178">
        <v>0</v>
      </c>
      <c r="I174" s="170">
        <v>6183.3600000000006</v>
      </c>
      <c r="J174" s="171">
        <f t="shared" si="71"/>
        <v>6183.3600000000006</v>
      </c>
      <c r="K174" s="202">
        <v>7578.5599999999995</v>
      </c>
      <c r="L174" s="171">
        <v>0</v>
      </c>
      <c r="M174" s="197">
        <v>5821.81</v>
      </c>
      <c r="N174" s="171">
        <f t="shared" si="65"/>
        <v>5821.81</v>
      </c>
      <c r="O174" s="202">
        <v>9035.92</v>
      </c>
      <c r="P174" s="238">
        <v>0</v>
      </c>
      <c r="Q174" s="197">
        <v>7188.2999999999993</v>
      </c>
      <c r="R174" s="171">
        <f t="shared" si="66"/>
        <v>7188.2999999999993</v>
      </c>
      <c r="S174" s="202">
        <v>8820.8100000000013</v>
      </c>
      <c r="T174" s="238">
        <v>0</v>
      </c>
      <c r="U174" s="238">
        <v>7100.55</v>
      </c>
      <c r="V174" s="171">
        <f t="shared" si="67"/>
        <v>7100.55</v>
      </c>
      <c r="W174" s="56">
        <v>8626</v>
      </c>
      <c r="X174" s="568">
        <f t="shared" si="57"/>
        <v>0</v>
      </c>
      <c r="Y174" s="569">
        <v>8707.51</v>
      </c>
      <c r="Z174" s="171">
        <f t="shared" si="68"/>
        <v>8707.51</v>
      </c>
      <c r="AA174" s="48">
        <v>9138.4</v>
      </c>
      <c r="AB174" s="238">
        <f t="shared" si="58"/>
        <v>0</v>
      </c>
      <c r="AC174" s="238">
        <v>8649.76</v>
      </c>
      <c r="AD174" s="171">
        <f t="shared" si="69"/>
        <v>8649.76</v>
      </c>
      <c r="AE174" s="238"/>
      <c r="AF174" s="238">
        <f t="shared" si="59"/>
        <v>0</v>
      </c>
      <c r="AG174" s="196">
        <v>166</v>
      </c>
      <c r="AH174" s="73" t="s">
        <v>558</v>
      </c>
      <c r="AI174" s="139" t="s">
        <v>559</v>
      </c>
      <c r="AJ174" s="238">
        <f t="shared" si="60"/>
        <v>0</v>
      </c>
      <c r="AK174" s="238"/>
      <c r="AL174" s="358" t="s">
        <v>558</v>
      </c>
      <c r="AM174" s="48">
        <v>9138.4</v>
      </c>
      <c r="AN174" s="238" t="s">
        <v>558</v>
      </c>
      <c r="AO174" s="238">
        <v>8649.76</v>
      </c>
      <c r="AQ174" s="472">
        <f t="shared" si="61"/>
        <v>0</v>
      </c>
      <c r="AS174" t="s">
        <v>558</v>
      </c>
      <c r="AT174" t="s">
        <v>1861</v>
      </c>
      <c r="AU174" s="48">
        <v>8401.36</v>
      </c>
      <c r="AV174" s="48">
        <v>0</v>
      </c>
      <c r="AW174" s="48">
        <v>0</v>
      </c>
      <c r="AX174" s="48">
        <v>0</v>
      </c>
      <c r="AY174" s="48">
        <v>0</v>
      </c>
      <c r="AZ174" s="48">
        <v>214.08</v>
      </c>
      <c r="BA174" s="48">
        <v>0</v>
      </c>
      <c r="BB174" s="48">
        <v>0</v>
      </c>
      <c r="BC174" s="48">
        <v>34.32</v>
      </c>
      <c r="BD174" s="48">
        <v>0</v>
      </c>
      <c r="BE174" s="48"/>
      <c r="BF174" s="48">
        <f t="shared" si="56"/>
        <v>8649.76</v>
      </c>
      <c r="BG174" s="48"/>
      <c r="BH174" s="48"/>
      <c r="BI174" s="48" t="str">
        <f t="shared" si="62"/>
        <v>30029</v>
      </c>
      <c r="BJ174" s="48">
        <f t="shared" si="63"/>
        <v>8649.76</v>
      </c>
      <c r="BK174" s="628">
        <f t="shared" si="64"/>
        <v>0</v>
      </c>
    </row>
    <row r="175" spans="1:63">
      <c r="A175" s="196">
        <v>168</v>
      </c>
      <c r="B175" s="73" t="s">
        <v>554</v>
      </c>
      <c r="C175" s="139" t="s">
        <v>555</v>
      </c>
      <c r="D175" s="168">
        <v>31080.649999999965</v>
      </c>
      <c r="E175" s="170">
        <v>505955.81999999995</v>
      </c>
      <c r="F175" s="171">
        <f t="shared" si="70"/>
        <v>537036.47</v>
      </c>
      <c r="G175" s="181">
        <v>562000</v>
      </c>
      <c r="H175" s="178">
        <v>0</v>
      </c>
      <c r="I175" s="170">
        <v>717232.13</v>
      </c>
      <c r="J175" s="171">
        <f t="shared" si="71"/>
        <v>717232.13</v>
      </c>
      <c r="K175" s="202">
        <v>700446.13</v>
      </c>
      <c r="L175" s="171">
        <v>16786</v>
      </c>
      <c r="M175" s="197">
        <v>718316.92999999993</v>
      </c>
      <c r="N175" s="171">
        <f t="shared" si="65"/>
        <v>735102.92999999993</v>
      </c>
      <c r="O175" s="202">
        <v>813576.2</v>
      </c>
      <c r="P175" s="238">
        <v>0</v>
      </c>
      <c r="Q175" s="197">
        <v>797212.2</v>
      </c>
      <c r="R175" s="171">
        <f t="shared" si="66"/>
        <v>797212.2</v>
      </c>
      <c r="S175" s="202">
        <v>797213</v>
      </c>
      <c r="T175" s="238">
        <v>0</v>
      </c>
      <c r="U175" s="238">
        <v>804636.49</v>
      </c>
      <c r="V175" s="171">
        <f t="shared" si="67"/>
        <v>804636.49</v>
      </c>
      <c r="W175" s="56">
        <v>805250.28</v>
      </c>
      <c r="X175" s="568">
        <f t="shared" si="57"/>
        <v>0</v>
      </c>
      <c r="Y175" s="569">
        <v>849255.95</v>
      </c>
      <c r="Z175" s="171">
        <f t="shared" si="68"/>
        <v>849255.95</v>
      </c>
      <c r="AA175" s="48">
        <v>867603.85000000009</v>
      </c>
      <c r="AB175" s="238">
        <f t="shared" si="58"/>
        <v>0</v>
      </c>
      <c r="AC175" s="238">
        <v>829154.38000000012</v>
      </c>
      <c r="AD175" s="171">
        <f t="shared" si="69"/>
        <v>829154.38000000012</v>
      </c>
      <c r="AE175" s="238"/>
      <c r="AF175" s="238">
        <f t="shared" si="59"/>
        <v>0</v>
      </c>
      <c r="AG175" s="196">
        <v>167</v>
      </c>
      <c r="AH175" s="73" t="s">
        <v>554</v>
      </c>
      <c r="AI175" s="139" t="s">
        <v>555</v>
      </c>
      <c r="AJ175" s="238">
        <f t="shared" si="60"/>
        <v>0</v>
      </c>
      <c r="AK175" s="238"/>
      <c r="AL175" s="358" t="s">
        <v>554</v>
      </c>
      <c r="AM175" s="48">
        <v>867603.85000000009</v>
      </c>
      <c r="AN175" s="238" t="s">
        <v>554</v>
      </c>
      <c r="AO175" s="238">
        <v>829154.38000000012</v>
      </c>
      <c r="AQ175" s="472">
        <f t="shared" si="61"/>
        <v>0</v>
      </c>
      <c r="AS175" t="s">
        <v>554</v>
      </c>
      <c r="AT175" t="s">
        <v>1859</v>
      </c>
      <c r="AU175" s="48">
        <v>493596.73</v>
      </c>
      <c r="AV175" s="48">
        <v>36749.14</v>
      </c>
      <c r="AW175" s="48">
        <v>3218.55</v>
      </c>
      <c r="AX175" s="48">
        <v>40813.769999999997</v>
      </c>
      <c r="AY175" s="48">
        <v>108755.21</v>
      </c>
      <c r="AZ175" s="48">
        <v>45627.78</v>
      </c>
      <c r="BA175" s="48">
        <v>29624.81</v>
      </c>
      <c r="BB175" s="48">
        <v>50795.76</v>
      </c>
      <c r="BC175" s="48">
        <v>3140.85</v>
      </c>
      <c r="BD175" s="48">
        <v>16831.78</v>
      </c>
      <c r="BE175" s="48"/>
      <c r="BF175" s="48">
        <f t="shared" si="56"/>
        <v>829154.38000000012</v>
      </c>
      <c r="BG175" s="48"/>
      <c r="BH175" s="48"/>
      <c r="BI175" s="48" t="str">
        <f t="shared" si="62"/>
        <v>29320</v>
      </c>
      <c r="BJ175" s="48">
        <f t="shared" si="63"/>
        <v>829154.38000000012</v>
      </c>
      <c r="BK175" s="628">
        <f t="shared" si="64"/>
        <v>0</v>
      </c>
    </row>
    <row r="176" spans="1:63">
      <c r="A176" s="196">
        <v>169</v>
      </c>
      <c r="B176" s="73" t="s">
        <v>1176</v>
      </c>
      <c r="C176" t="s">
        <v>1188</v>
      </c>
      <c r="D176" s="168">
        <v>19286.320000000003</v>
      </c>
      <c r="E176" s="170">
        <v>39385.530000000006</v>
      </c>
      <c r="F176" s="171">
        <f t="shared" si="70"/>
        <v>58671.850000000006</v>
      </c>
      <c r="G176" s="181"/>
      <c r="H176" s="178">
        <v>58671.850000000006</v>
      </c>
      <c r="I176" s="170">
        <v>63119.53</v>
      </c>
      <c r="J176" s="171">
        <f t="shared" si="71"/>
        <v>121791.38</v>
      </c>
      <c r="K176" s="202"/>
      <c r="L176" s="171">
        <v>121791.38</v>
      </c>
      <c r="M176" s="197">
        <v>61604.89</v>
      </c>
      <c r="N176" s="171">
        <f t="shared" si="65"/>
        <v>183396.27000000002</v>
      </c>
      <c r="O176" s="202"/>
      <c r="P176" s="238">
        <v>183396.27000000002</v>
      </c>
      <c r="Q176" s="197">
        <v>75030.709999999992</v>
      </c>
      <c r="R176" s="171">
        <f t="shared" si="66"/>
        <v>258426.98</v>
      </c>
      <c r="S176" s="202">
        <v>161715.98000000001</v>
      </c>
      <c r="T176" s="238">
        <v>96711</v>
      </c>
      <c r="U176" s="238">
        <v>72589.05</v>
      </c>
      <c r="V176" s="171">
        <f t="shared" si="67"/>
        <v>169300.05</v>
      </c>
      <c r="W176" s="56"/>
      <c r="X176" s="568">
        <f t="shared" si="57"/>
        <v>169300.05</v>
      </c>
      <c r="Y176" s="569">
        <v>65177.740000000005</v>
      </c>
      <c r="Z176" s="171">
        <f t="shared" si="68"/>
        <v>234477.78999999998</v>
      </c>
      <c r="AA176" s="48">
        <v>237191.13999999998</v>
      </c>
      <c r="AB176" s="238">
        <f t="shared" si="58"/>
        <v>0</v>
      </c>
      <c r="AC176" s="238">
        <v>70191.55</v>
      </c>
      <c r="AD176" s="171">
        <f t="shared" si="69"/>
        <v>70191.55</v>
      </c>
      <c r="AE176" s="238"/>
      <c r="AF176" s="238">
        <f t="shared" si="59"/>
        <v>0</v>
      </c>
      <c r="AG176" s="196">
        <v>168</v>
      </c>
      <c r="AH176" s="73" t="s">
        <v>1176</v>
      </c>
      <c r="AI176" t="s">
        <v>1188</v>
      </c>
      <c r="AJ176" s="238">
        <f t="shared" si="60"/>
        <v>0</v>
      </c>
      <c r="AK176" s="238"/>
      <c r="AL176" s="358" t="s">
        <v>1176</v>
      </c>
      <c r="AM176" s="48">
        <v>237191.13999999998</v>
      </c>
      <c r="AN176" s="238" t="s">
        <v>1176</v>
      </c>
      <c r="AO176" s="238">
        <v>70191.55</v>
      </c>
      <c r="AQ176" s="472">
        <f t="shared" si="61"/>
        <v>0</v>
      </c>
      <c r="AS176" t="s">
        <v>1176</v>
      </c>
      <c r="AT176" t="s">
        <v>1768</v>
      </c>
      <c r="AU176" s="48">
        <v>47748.15</v>
      </c>
      <c r="AV176" s="48">
        <v>2009.86</v>
      </c>
      <c r="AW176" s="48">
        <v>0</v>
      </c>
      <c r="AX176" s="48">
        <v>0</v>
      </c>
      <c r="AY176" s="48">
        <v>14702.66</v>
      </c>
      <c r="AZ176" s="48">
        <v>3379.13</v>
      </c>
      <c r="BA176" s="48">
        <v>2351.75</v>
      </c>
      <c r="BB176" s="48">
        <v>0</v>
      </c>
      <c r="BC176" s="48">
        <v>0</v>
      </c>
      <c r="BD176" s="48">
        <v>0</v>
      </c>
      <c r="BE176" s="48"/>
      <c r="BF176" s="48">
        <f t="shared" si="56"/>
        <v>70191.55</v>
      </c>
      <c r="BG176" s="48"/>
      <c r="BH176" s="48"/>
      <c r="BI176" s="48" t="str">
        <f t="shared" si="62"/>
        <v>17903</v>
      </c>
      <c r="BJ176" s="48">
        <f t="shared" si="63"/>
        <v>70191.55</v>
      </c>
      <c r="BK176" s="628">
        <f t="shared" si="64"/>
        <v>0</v>
      </c>
    </row>
    <row r="177" spans="1:63">
      <c r="A177" s="196">
        <v>170</v>
      </c>
      <c r="B177" s="73" t="s">
        <v>568</v>
      </c>
      <c r="C177" s="139" t="s">
        <v>569</v>
      </c>
      <c r="D177" s="168">
        <v>66577.35000000021</v>
      </c>
      <c r="E177" s="170">
        <v>1290030.76</v>
      </c>
      <c r="F177" s="171">
        <f t="shared" si="70"/>
        <v>1356608.1100000003</v>
      </c>
      <c r="G177" s="181">
        <v>1601181.16</v>
      </c>
      <c r="H177" s="178">
        <v>0</v>
      </c>
      <c r="I177" s="170">
        <v>1804422.9099999997</v>
      </c>
      <c r="J177" s="171">
        <f t="shared" si="71"/>
        <v>1804422.9099999997</v>
      </c>
      <c r="K177" s="202">
        <v>2290394.02</v>
      </c>
      <c r="L177" s="171">
        <v>0</v>
      </c>
      <c r="M177" s="197">
        <v>1788368.2399999998</v>
      </c>
      <c r="N177" s="171">
        <f t="shared" si="65"/>
        <v>1788368.2399999998</v>
      </c>
      <c r="O177" s="202">
        <v>2266130.71</v>
      </c>
      <c r="P177" s="238">
        <v>0</v>
      </c>
      <c r="Q177" s="197">
        <v>1926330.01</v>
      </c>
      <c r="R177" s="171">
        <f t="shared" si="66"/>
        <v>1926330.01</v>
      </c>
      <c r="S177" s="202">
        <v>2156591.41</v>
      </c>
      <c r="T177" s="238">
        <v>0</v>
      </c>
      <c r="U177" s="238">
        <v>1969463.99</v>
      </c>
      <c r="V177" s="171">
        <f t="shared" si="67"/>
        <v>1969463.99</v>
      </c>
      <c r="W177" s="56">
        <v>2169455.1100000003</v>
      </c>
      <c r="X177" s="568">
        <f t="shared" si="57"/>
        <v>0</v>
      </c>
      <c r="Y177" s="569">
        <v>2079644.7099999995</v>
      </c>
      <c r="Z177" s="171">
        <f t="shared" si="68"/>
        <v>2079644.7099999995</v>
      </c>
      <c r="AA177" s="48">
        <v>2261272.7900000005</v>
      </c>
      <c r="AB177" s="238">
        <f t="shared" si="58"/>
        <v>0</v>
      </c>
      <c r="AC177" s="238">
        <v>2000921.1399999997</v>
      </c>
      <c r="AD177" s="171">
        <f t="shared" si="69"/>
        <v>2000921.1399999997</v>
      </c>
      <c r="AE177" s="238"/>
      <c r="AF177" s="238">
        <f t="shared" si="59"/>
        <v>0</v>
      </c>
      <c r="AG177" s="196">
        <v>169</v>
      </c>
      <c r="AH177" s="73" t="s">
        <v>568</v>
      </c>
      <c r="AI177" s="139" t="s">
        <v>569</v>
      </c>
      <c r="AJ177" s="238">
        <f t="shared" si="60"/>
        <v>0</v>
      </c>
      <c r="AK177" s="238"/>
      <c r="AL177" s="358" t="s">
        <v>568</v>
      </c>
      <c r="AM177" s="48">
        <v>2261272.7900000005</v>
      </c>
      <c r="AN177" s="238" t="s">
        <v>568</v>
      </c>
      <c r="AO177" s="238">
        <v>2000921.1399999997</v>
      </c>
      <c r="AQ177" s="472">
        <f t="shared" si="61"/>
        <v>0</v>
      </c>
      <c r="AS177" t="s">
        <v>568</v>
      </c>
      <c r="AT177" t="s">
        <v>1866</v>
      </c>
      <c r="AU177" s="48">
        <v>1365437.49</v>
      </c>
      <c r="AV177" s="48">
        <v>53555.16</v>
      </c>
      <c r="AW177" s="48">
        <v>18355.64</v>
      </c>
      <c r="AX177" s="48">
        <v>75269.02</v>
      </c>
      <c r="AY177" s="48">
        <v>224390.14</v>
      </c>
      <c r="AZ177" s="48">
        <v>90570.25</v>
      </c>
      <c r="BA177" s="48">
        <v>43591.46</v>
      </c>
      <c r="BB177" s="48">
        <v>121974.94</v>
      </c>
      <c r="BC177" s="48">
        <v>7777.04</v>
      </c>
      <c r="BD177" s="48">
        <v>0</v>
      </c>
      <c r="BE177" s="48"/>
      <c r="BF177" s="48">
        <f t="shared" si="56"/>
        <v>2000921.1399999997</v>
      </c>
      <c r="BG177" s="48"/>
      <c r="BH177" s="48"/>
      <c r="BI177" s="48" t="str">
        <f t="shared" si="62"/>
        <v>31006</v>
      </c>
      <c r="BJ177" s="48">
        <f t="shared" si="63"/>
        <v>2000921.1399999997</v>
      </c>
      <c r="BK177" s="628">
        <f t="shared" si="64"/>
        <v>0</v>
      </c>
    </row>
    <row r="178" spans="1:63">
      <c r="A178" s="196">
        <v>171</v>
      </c>
      <c r="B178" s="73" t="s">
        <v>713</v>
      </c>
      <c r="C178" s="139" t="s">
        <v>714</v>
      </c>
      <c r="D178" s="168">
        <v>0</v>
      </c>
      <c r="E178" s="170">
        <v>77364.179999999993</v>
      </c>
      <c r="F178" s="171">
        <f t="shared" si="70"/>
        <v>77364.179999999993</v>
      </c>
      <c r="G178" s="181">
        <v>99011.42</v>
      </c>
      <c r="H178" s="178">
        <v>0</v>
      </c>
      <c r="I178" s="170">
        <v>111392.91999999998</v>
      </c>
      <c r="J178" s="171">
        <f t="shared" si="71"/>
        <v>111392.91999999998</v>
      </c>
      <c r="K178" s="202">
        <v>128067.54000000001</v>
      </c>
      <c r="L178" s="171">
        <v>0</v>
      </c>
      <c r="M178" s="197">
        <v>115183.67000000001</v>
      </c>
      <c r="N178" s="171">
        <f t="shared" si="65"/>
        <v>115183.67000000001</v>
      </c>
      <c r="O178" s="202">
        <v>85058.569999999992</v>
      </c>
      <c r="P178" s="238">
        <v>30125.10000000002</v>
      </c>
      <c r="Q178" s="197">
        <v>131937.76</v>
      </c>
      <c r="R178" s="171">
        <f t="shared" si="66"/>
        <v>162062.86000000004</v>
      </c>
      <c r="S178" s="202">
        <v>123082.02</v>
      </c>
      <c r="T178" s="238">
        <v>38980.84000000004</v>
      </c>
      <c r="U178" s="238">
        <v>136319.87</v>
      </c>
      <c r="V178" s="171">
        <f t="shared" si="67"/>
        <v>175300.71000000002</v>
      </c>
      <c r="W178" s="56">
        <v>127157.02000000002</v>
      </c>
      <c r="X178" s="568">
        <f t="shared" si="57"/>
        <v>48143.69</v>
      </c>
      <c r="Y178" s="569">
        <v>143895.66999999998</v>
      </c>
      <c r="Z178" s="171">
        <f t="shared" si="68"/>
        <v>192039.36</v>
      </c>
      <c r="AA178" s="48">
        <v>149064.45999999996</v>
      </c>
      <c r="AB178" s="238">
        <f t="shared" si="58"/>
        <v>42974.900000000023</v>
      </c>
      <c r="AC178" s="238">
        <v>146830.83000000002</v>
      </c>
      <c r="AD178" s="171">
        <f t="shared" si="69"/>
        <v>189805.73000000004</v>
      </c>
      <c r="AE178" s="238"/>
      <c r="AF178" s="238">
        <f t="shared" si="59"/>
        <v>0</v>
      </c>
      <c r="AG178" s="196">
        <v>170</v>
      </c>
      <c r="AH178" s="73" t="s">
        <v>713</v>
      </c>
      <c r="AI178" s="139" t="s">
        <v>714</v>
      </c>
      <c r="AJ178" s="238">
        <f t="shared" si="60"/>
        <v>0</v>
      </c>
      <c r="AK178" s="238"/>
      <c r="AL178" s="358" t="s">
        <v>713</v>
      </c>
      <c r="AM178" s="48">
        <v>149064.45999999996</v>
      </c>
      <c r="AN178" s="238" t="s">
        <v>713</v>
      </c>
      <c r="AO178" s="238">
        <v>146830.83000000002</v>
      </c>
      <c r="AQ178" s="472">
        <f t="shared" si="61"/>
        <v>0</v>
      </c>
      <c r="AS178" t="s">
        <v>713</v>
      </c>
      <c r="AT178" t="s">
        <v>1943</v>
      </c>
      <c r="AU178" s="48">
        <v>90234.96</v>
      </c>
      <c r="AV178" s="48">
        <v>11545.69</v>
      </c>
      <c r="AW178" s="48">
        <v>6071.16</v>
      </c>
      <c r="AX178" s="48">
        <v>0</v>
      </c>
      <c r="AY178" s="48">
        <v>20441.759999999998</v>
      </c>
      <c r="AZ178" s="48">
        <v>6714.05</v>
      </c>
      <c r="BA178" s="48">
        <v>5861.5</v>
      </c>
      <c r="BB178" s="48">
        <v>1735.94</v>
      </c>
      <c r="BC178" s="48">
        <v>558.1</v>
      </c>
      <c r="BD178" s="48">
        <v>3667.67</v>
      </c>
      <c r="BE178" s="48"/>
      <c r="BF178" s="48">
        <f t="shared" si="56"/>
        <v>146830.83000000002</v>
      </c>
      <c r="BG178" s="48"/>
      <c r="BH178" s="48"/>
      <c r="BI178" s="48" t="str">
        <f t="shared" si="62"/>
        <v>39003</v>
      </c>
      <c r="BJ178" s="48">
        <f t="shared" si="63"/>
        <v>146830.83000000002</v>
      </c>
      <c r="BK178" s="628">
        <f t="shared" si="64"/>
        <v>0</v>
      </c>
    </row>
    <row r="179" spans="1:63">
      <c r="A179" s="196">
        <v>172</v>
      </c>
      <c r="B179" s="73" t="s">
        <v>416</v>
      </c>
      <c r="C179" s="139" t="s">
        <v>417</v>
      </c>
      <c r="D179" s="168">
        <v>0</v>
      </c>
      <c r="E179" s="170">
        <v>50675.420000000006</v>
      </c>
      <c r="F179" s="171">
        <f t="shared" si="70"/>
        <v>50675.420000000006</v>
      </c>
      <c r="G179" s="181">
        <v>45760.45</v>
      </c>
      <c r="H179" s="178">
        <v>4914.9700000000084</v>
      </c>
      <c r="I179" s="170">
        <v>69865.209999999992</v>
      </c>
      <c r="J179" s="171">
        <f t="shared" si="71"/>
        <v>74780.179999999993</v>
      </c>
      <c r="K179" s="202">
        <v>78456.86</v>
      </c>
      <c r="L179" s="171">
        <v>0</v>
      </c>
      <c r="M179" s="197">
        <v>70153.91</v>
      </c>
      <c r="N179" s="171">
        <f t="shared" si="65"/>
        <v>70153.91</v>
      </c>
      <c r="O179" s="202">
        <v>80041.510000000009</v>
      </c>
      <c r="P179" s="238">
        <v>0</v>
      </c>
      <c r="Q179" s="197">
        <v>77354.400000000009</v>
      </c>
      <c r="R179" s="171">
        <f t="shared" si="66"/>
        <v>77354.400000000009</v>
      </c>
      <c r="S179" s="202">
        <v>85766.75999999998</v>
      </c>
      <c r="T179" s="238">
        <v>0</v>
      </c>
      <c r="U179" s="238">
        <v>79224.509999999995</v>
      </c>
      <c r="V179" s="171">
        <f t="shared" si="67"/>
        <v>79224.509999999995</v>
      </c>
      <c r="W179" s="56">
        <v>74624.339999999982</v>
      </c>
      <c r="X179" s="568">
        <f t="shared" si="57"/>
        <v>4600.1700000000128</v>
      </c>
      <c r="Y179" s="569">
        <v>86976.219999999987</v>
      </c>
      <c r="Z179" s="171">
        <f t="shared" si="68"/>
        <v>91576.39</v>
      </c>
      <c r="AA179" s="48">
        <v>94288.020000000033</v>
      </c>
      <c r="AB179" s="238">
        <f t="shared" si="58"/>
        <v>0</v>
      </c>
      <c r="AC179" s="238">
        <v>81944.099999999991</v>
      </c>
      <c r="AD179" s="171">
        <f t="shared" si="69"/>
        <v>81944.099999999991</v>
      </c>
      <c r="AE179" s="238"/>
      <c r="AF179" s="238">
        <f t="shared" si="59"/>
        <v>0</v>
      </c>
      <c r="AG179" s="196">
        <v>171</v>
      </c>
      <c r="AH179" s="73" t="s">
        <v>416</v>
      </c>
      <c r="AI179" s="139" t="s">
        <v>417</v>
      </c>
      <c r="AJ179" s="238">
        <f t="shared" si="60"/>
        <v>0</v>
      </c>
      <c r="AK179" s="238"/>
      <c r="AL179" s="358" t="s">
        <v>416</v>
      </c>
      <c r="AM179" s="48">
        <v>94288.020000000033</v>
      </c>
      <c r="AN179" s="238" t="s">
        <v>416</v>
      </c>
      <c r="AO179" s="238">
        <v>81944.099999999991</v>
      </c>
      <c r="AQ179" s="472">
        <f t="shared" si="61"/>
        <v>0</v>
      </c>
      <c r="AS179" t="s">
        <v>416</v>
      </c>
      <c r="AT179" t="s">
        <v>1791</v>
      </c>
      <c r="AU179" s="48">
        <v>54927.23</v>
      </c>
      <c r="AV179" s="48">
        <v>12754.38</v>
      </c>
      <c r="AW179" s="48">
        <v>3732.43</v>
      </c>
      <c r="AX179" s="48">
        <v>0</v>
      </c>
      <c r="AY179" s="48">
        <v>5790.91</v>
      </c>
      <c r="AZ179" s="48">
        <v>3754.01</v>
      </c>
      <c r="BA179" s="48">
        <v>0</v>
      </c>
      <c r="BB179" s="48">
        <v>608.97</v>
      </c>
      <c r="BC179" s="48">
        <v>376.17</v>
      </c>
      <c r="BD179" s="48">
        <v>0</v>
      </c>
      <c r="BE179" s="48"/>
      <c r="BF179" s="48">
        <f t="shared" si="56"/>
        <v>81944.099999999991</v>
      </c>
      <c r="BG179" s="48"/>
      <c r="BH179" s="48"/>
      <c r="BI179" s="48" t="str">
        <f t="shared" si="62"/>
        <v>21014</v>
      </c>
      <c r="BJ179" s="48">
        <f t="shared" si="63"/>
        <v>81944.099999999991</v>
      </c>
      <c r="BK179" s="628">
        <f t="shared" si="64"/>
        <v>0</v>
      </c>
    </row>
    <row r="180" spans="1:63">
      <c r="A180" s="196">
        <v>173</v>
      </c>
      <c r="B180" s="73" t="s">
        <v>494</v>
      </c>
      <c r="C180" s="139" t="s">
        <v>976</v>
      </c>
      <c r="D180" s="168">
        <v>0</v>
      </c>
      <c r="E180" s="170">
        <v>23763.13</v>
      </c>
      <c r="F180" s="171">
        <f t="shared" si="70"/>
        <v>23763.13</v>
      </c>
      <c r="G180" s="181">
        <v>27150.07</v>
      </c>
      <c r="H180" s="178">
        <v>0</v>
      </c>
      <c r="I180" s="170">
        <v>34656.840000000004</v>
      </c>
      <c r="J180" s="171">
        <f t="shared" si="71"/>
        <v>34656.840000000004</v>
      </c>
      <c r="K180" s="202">
        <v>42033.17</v>
      </c>
      <c r="L180" s="171">
        <v>0</v>
      </c>
      <c r="M180" s="197">
        <v>33984.5</v>
      </c>
      <c r="N180" s="171">
        <f t="shared" si="65"/>
        <v>33984.5</v>
      </c>
      <c r="O180" s="202">
        <v>42158.979999999996</v>
      </c>
      <c r="P180" s="238">
        <v>0</v>
      </c>
      <c r="Q180" s="197">
        <v>37218.92</v>
      </c>
      <c r="R180" s="171">
        <f t="shared" si="66"/>
        <v>37218.92</v>
      </c>
      <c r="S180" s="202">
        <v>36344.130000000005</v>
      </c>
      <c r="T180" s="238">
        <v>874.7899999999936</v>
      </c>
      <c r="U180" s="238">
        <v>36384.870000000003</v>
      </c>
      <c r="V180" s="171">
        <f t="shared" si="67"/>
        <v>37259.659999999996</v>
      </c>
      <c r="W180" s="56">
        <v>35748.22</v>
      </c>
      <c r="X180" s="568">
        <f t="shared" si="57"/>
        <v>1511.4399999999951</v>
      </c>
      <c r="Y180" s="569">
        <v>37282.119999999995</v>
      </c>
      <c r="Z180" s="171">
        <f t="shared" si="68"/>
        <v>38793.55999999999</v>
      </c>
      <c r="AA180" s="48">
        <v>36303.340000000004</v>
      </c>
      <c r="AB180" s="238">
        <f t="shared" si="58"/>
        <v>2490.2199999999866</v>
      </c>
      <c r="AC180" s="238">
        <v>36772.33</v>
      </c>
      <c r="AD180" s="171">
        <f t="shared" si="69"/>
        <v>39262.549999999988</v>
      </c>
      <c r="AE180" s="238"/>
      <c r="AF180" s="238">
        <f t="shared" si="59"/>
        <v>0</v>
      </c>
      <c r="AG180" s="196">
        <v>172</v>
      </c>
      <c r="AH180" s="73" t="s">
        <v>494</v>
      </c>
      <c r="AI180" s="139" t="s">
        <v>976</v>
      </c>
      <c r="AJ180" s="238">
        <f t="shared" si="60"/>
        <v>0</v>
      </c>
      <c r="AK180" s="238"/>
      <c r="AL180" s="358" t="s">
        <v>494</v>
      </c>
      <c r="AM180" s="48">
        <v>36303.340000000004</v>
      </c>
      <c r="AN180" s="238" t="s">
        <v>494</v>
      </c>
      <c r="AO180" s="238">
        <v>36772.33</v>
      </c>
      <c r="AQ180" s="472">
        <f t="shared" si="61"/>
        <v>0</v>
      </c>
      <c r="AS180" t="s">
        <v>494</v>
      </c>
      <c r="AT180" t="s">
        <v>1829</v>
      </c>
      <c r="AU180" s="48">
        <v>29563.39</v>
      </c>
      <c r="AV180" s="48">
        <v>2368.0300000000002</v>
      </c>
      <c r="AW180" s="48">
        <v>1162.43</v>
      </c>
      <c r="AX180" s="48">
        <v>0</v>
      </c>
      <c r="AY180" s="48">
        <v>0</v>
      </c>
      <c r="AZ180" s="48">
        <v>1833.06</v>
      </c>
      <c r="BA180" s="48">
        <v>1427.61</v>
      </c>
      <c r="BB180" s="48">
        <v>279.05</v>
      </c>
      <c r="BC180" s="48">
        <v>138.76</v>
      </c>
      <c r="BD180" s="48">
        <v>0</v>
      </c>
      <c r="BE180" s="48"/>
      <c r="BF180" s="48">
        <f t="shared" si="56"/>
        <v>36772.33</v>
      </c>
      <c r="BG180" s="48"/>
      <c r="BH180" s="48"/>
      <c r="BI180" s="48" t="str">
        <f t="shared" si="62"/>
        <v>25155</v>
      </c>
      <c r="BJ180" s="48">
        <f t="shared" si="63"/>
        <v>36772.33</v>
      </c>
      <c r="BK180" s="628">
        <f t="shared" si="64"/>
        <v>0</v>
      </c>
    </row>
    <row r="181" spans="1:63">
      <c r="A181" s="196">
        <v>174</v>
      </c>
      <c r="B181" s="73" t="s">
        <v>472</v>
      </c>
      <c r="C181" s="139" t="s">
        <v>473</v>
      </c>
      <c r="D181" s="168">
        <v>5054.08</v>
      </c>
      <c r="E181" s="170">
        <v>10071.43</v>
      </c>
      <c r="F181" s="171">
        <f t="shared" si="70"/>
        <v>15125.51</v>
      </c>
      <c r="G181" s="181">
        <v>9604.19</v>
      </c>
      <c r="H181" s="178">
        <v>5521.32</v>
      </c>
      <c r="I181" s="170">
        <v>14507.57</v>
      </c>
      <c r="J181" s="171">
        <f t="shared" si="71"/>
        <v>20028.89</v>
      </c>
      <c r="K181" s="202">
        <v>8635.36</v>
      </c>
      <c r="L181" s="171">
        <v>11393.529999999999</v>
      </c>
      <c r="M181" s="197">
        <v>14635.68</v>
      </c>
      <c r="N181" s="171">
        <f t="shared" si="65"/>
        <v>26029.21</v>
      </c>
      <c r="O181" s="202">
        <v>17414.349999999999</v>
      </c>
      <c r="P181" s="238">
        <v>8614.86</v>
      </c>
      <c r="Q181" s="197">
        <v>15497.66</v>
      </c>
      <c r="R181" s="171">
        <f t="shared" si="66"/>
        <v>24112.52</v>
      </c>
      <c r="S181" s="202">
        <v>17113.5</v>
      </c>
      <c r="T181" s="238">
        <v>6999.02</v>
      </c>
      <c r="U181" s="238">
        <v>27877.94</v>
      </c>
      <c r="V181" s="171">
        <f t="shared" si="67"/>
        <v>34876.959999999999</v>
      </c>
      <c r="W181" s="56">
        <v>21881.120000000003</v>
      </c>
      <c r="X181" s="568">
        <f t="shared" si="57"/>
        <v>12995.839999999997</v>
      </c>
      <c r="Y181" s="569">
        <v>29776.44</v>
      </c>
      <c r="Z181" s="171">
        <f t="shared" si="68"/>
        <v>42772.28</v>
      </c>
      <c r="AA181" s="48">
        <v>32279.08</v>
      </c>
      <c r="AB181" s="238">
        <f t="shared" si="58"/>
        <v>10493.199999999997</v>
      </c>
      <c r="AC181" s="238">
        <v>32019.93</v>
      </c>
      <c r="AD181" s="171">
        <f t="shared" si="69"/>
        <v>42513.13</v>
      </c>
      <c r="AE181" s="238"/>
      <c r="AF181" s="238">
        <f t="shared" si="59"/>
        <v>0</v>
      </c>
      <c r="AG181" s="196">
        <v>173</v>
      </c>
      <c r="AH181" s="73" t="s">
        <v>472</v>
      </c>
      <c r="AI181" s="139" t="s">
        <v>473</v>
      </c>
      <c r="AJ181" s="238">
        <f t="shared" si="60"/>
        <v>0</v>
      </c>
      <c r="AK181" s="238"/>
      <c r="AL181" s="358" t="s">
        <v>472</v>
      </c>
      <c r="AM181" s="48">
        <v>32279.08</v>
      </c>
      <c r="AN181" s="238" t="s">
        <v>472</v>
      </c>
      <c r="AO181" s="238">
        <v>32019.93</v>
      </c>
      <c r="AQ181" s="472">
        <f t="shared" si="61"/>
        <v>0</v>
      </c>
      <c r="AS181" t="s">
        <v>472</v>
      </c>
      <c r="AT181" t="s">
        <v>2394</v>
      </c>
      <c r="AU181" s="48">
        <v>23233.22</v>
      </c>
      <c r="AV181" s="48">
        <v>843.3</v>
      </c>
      <c r="AW181" s="48">
        <v>929.64</v>
      </c>
      <c r="AX181" s="48">
        <v>0</v>
      </c>
      <c r="AY181" s="48">
        <v>4266.47</v>
      </c>
      <c r="AZ181" s="48">
        <v>1742.11</v>
      </c>
      <c r="BA181" s="48">
        <v>800.14</v>
      </c>
      <c r="BB181" s="48">
        <v>0</v>
      </c>
      <c r="BC181" s="48">
        <v>0</v>
      </c>
      <c r="BD181" s="48">
        <v>205.05</v>
      </c>
      <c r="BE181" s="48"/>
      <c r="BF181" s="48">
        <f t="shared" si="56"/>
        <v>32019.93</v>
      </c>
      <c r="BG181" s="48"/>
      <c r="BH181" s="48"/>
      <c r="BI181" s="48" t="str">
        <f t="shared" si="62"/>
        <v>24014</v>
      </c>
      <c r="BJ181" s="48">
        <f t="shared" si="63"/>
        <v>32019.93</v>
      </c>
      <c r="BK181" s="628">
        <f t="shared" si="64"/>
        <v>0</v>
      </c>
    </row>
    <row r="182" spans="1:63">
      <c r="A182" s="196">
        <v>175</v>
      </c>
      <c r="B182" s="73" t="s">
        <v>499</v>
      </c>
      <c r="C182" s="139" t="s">
        <v>500</v>
      </c>
      <c r="D182" s="168">
        <v>5235.09</v>
      </c>
      <c r="E182" s="170">
        <v>69453.56</v>
      </c>
      <c r="F182" s="171">
        <f t="shared" si="70"/>
        <v>74688.649999999994</v>
      </c>
      <c r="G182" s="181">
        <v>96156.45</v>
      </c>
      <c r="H182" s="178">
        <v>0</v>
      </c>
      <c r="I182" s="170">
        <v>89974.62</v>
      </c>
      <c r="J182" s="171">
        <f t="shared" si="71"/>
        <v>89974.62</v>
      </c>
      <c r="K182" s="202">
        <v>100325.13</v>
      </c>
      <c r="L182" s="171">
        <v>0</v>
      </c>
      <c r="M182" s="197">
        <v>88870.31</v>
      </c>
      <c r="N182" s="171">
        <f t="shared" si="65"/>
        <v>88870.31</v>
      </c>
      <c r="O182" s="202">
        <v>106609.1</v>
      </c>
      <c r="P182" s="238">
        <v>0</v>
      </c>
      <c r="Q182" s="197">
        <v>100789.17000000001</v>
      </c>
      <c r="R182" s="171">
        <f t="shared" si="66"/>
        <v>100789.17000000001</v>
      </c>
      <c r="S182" s="202">
        <v>127533.22</v>
      </c>
      <c r="T182" s="238">
        <v>0</v>
      </c>
      <c r="U182" s="238">
        <v>108456.7</v>
      </c>
      <c r="V182" s="171">
        <f t="shared" si="67"/>
        <v>108456.7</v>
      </c>
      <c r="W182" s="56">
        <v>123845.48999999999</v>
      </c>
      <c r="X182" s="568">
        <f t="shared" si="57"/>
        <v>0</v>
      </c>
      <c r="Y182" s="569">
        <v>115157.68000000001</v>
      </c>
      <c r="Z182" s="171">
        <f t="shared" si="68"/>
        <v>115157.68000000001</v>
      </c>
      <c r="AA182" s="48">
        <v>126444.71999999997</v>
      </c>
      <c r="AB182" s="238">
        <f t="shared" si="58"/>
        <v>0</v>
      </c>
      <c r="AC182" s="238">
        <v>112523.90000000001</v>
      </c>
      <c r="AD182" s="171">
        <f t="shared" si="69"/>
        <v>112523.90000000001</v>
      </c>
      <c r="AE182" s="238"/>
      <c r="AF182" s="238">
        <f t="shared" si="59"/>
        <v>0</v>
      </c>
      <c r="AG182" s="196">
        <v>174</v>
      </c>
      <c r="AH182" s="73" t="s">
        <v>499</v>
      </c>
      <c r="AI182" s="139" t="s">
        <v>500</v>
      </c>
      <c r="AJ182" s="238">
        <f t="shared" si="60"/>
        <v>0</v>
      </c>
      <c r="AK182" s="238"/>
      <c r="AL182" s="358" t="s">
        <v>499</v>
      </c>
      <c r="AM182" s="48">
        <v>126444.71999999997</v>
      </c>
      <c r="AN182" s="238" t="s">
        <v>499</v>
      </c>
      <c r="AO182" s="238">
        <v>112523.90000000001</v>
      </c>
      <c r="AQ182" s="472">
        <f t="shared" si="61"/>
        <v>0</v>
      </c>
      <c r="AS182" t="s">
        <v>499</v>
      </c>
      <c r="AT182" t="s">
        <v>1832</v>
      </c>
      <c r="AU182" s="48">
        <v>69358.97</v>
      </c>
      <c r="AV182" s="48">
        <v>8627.2800000000007</v>
      </c>
      <c r="AW182" s="48">
        <v>3303.83</v>
      </c>
      <c r="AX182" s="48">
        <v>0</v>
      </c>
      <c r="AY182" s="48">
        <v>18599.689999999999</v>
      </c>
      <c r="AZ182" s="48">
        <v>6858.97</v>
      </c>
      <c r="BA182" s="48">
        <v>5264.86</v>
      </c>
      <c r="BB182" s="48">
        <v>0</v>
      </c>
      <c r="BC182" s="48">
        <v>510.3</v>
      </c>
      <c r="BD182" s="48">
        <v>0</v>
      </c>
      <c r="BE182" s="48"/>
      <c r="BF182" s="48">
        <f t="shared" si="56"/>
        <v>112523.90000000001</v>
      </c>
      <c r="BG182" s="48"/>
      <c r="BH182" s="48"/>
      <c r="BI182" s="48" t="str">
        <f t="shared" si="62"/>
        <v>26056</v>
      </c>
      <c r="BJ182" s="48">
        <f t="shared" si="63"/>
        <v>112523.90000000001</v>
      </c>
      <c r="BK182" s="628">
        <f t="shared" si="64"/>
        <v>0</v>
      </c>
    </row>
    <row r="183" spans="1:63">
      <c r="A183" s="196">
        <v>176</v>
      </c>
      <c r="B183" s="73" t="s">
        <v>598</v>
      </c>
      <c r="C183" s="139" t="s">
        <v>599</v>
      </c>
      <c r="D183" s="168">
        <v>0</v>
      </c>
      <c r="E183" s="170">
        <v>81635.77</v>
      </c>
      <c r="F183" s="171">
        <f t="shared" si="70"/>
        <v>81635.77</v>
      </c>
      <c r="G183" s="181">
        <v>92793.91</v>
      </c>
      <c r="H183" s="178">
        <v>0</v>
      </c>
      <c r="I183" s="170">
        <v>112635.20000000001</v>
      </c>
      <c r="J183" s="171">
        <f t="shared" si="71"/>
        <v>112635.20000000001</v>
      </c>
      <c r="K183" s="202">
        <v>137057.70000000001</v>
      </c>
      <c r="L183" s="171">
        <v>0</v>
      </c>
      <c r="M183" s="197">
        <v>114731.11</v>
      </c>
      <c r="N183" s="171">
        <f t="shared" si="65"/>
        <v>114731.11</v>
      </c>
      <c r="O183" s="202">
        <v>119563.45000000001</v>
      </c>
      <c r="P183" s="238">
        <v>0</v>
      </c>
      <c r="Q183" s="197">
        <v>127269.39</v>
      </c>
      <c r="R183" s="171">
        <f t="shared" si="66"/>
        <v>127269.39</v>
      </c>
      <c r="S183" s="202">
        <v>127796.31</v>
      </c>
      <c r="T183" s="238">
        <v>0</v>
      </c>
      <c r="U183" s="238">
        <v>138317.06</v>
      </c>
      <c r="V183" s="171">
        <f t="shared" si="67"/>
        <v>138317.06</v>
      </c>
      <c r="W183" s="56">
        <v>163114.15999999992</v>
      </c>
      <c r="X183" s="568">
        <f t="shared" si="57"/>
        <v>0</v>
      </c>
      <c r="Y183" s="569">
        <v>143492.15999999997</v>
      </c>
      <c r="Z183" s="171">
        <f t="shared" si="68"/>
        <v>143492.15999999997</v>
      </c>
      <c r="AA183" s="48">
        <v>170258.53000000009</v>
      </c>
      <c r="AB183" s="238">
        <f t="shared" si="58"/>
        <v>0</v>
      </c>
      <c r="AC183" s="238">
        <v>145852.73000000001</v>
      </c>
      <c r="AD183" s="171">
        <f t="shared" si="69"/>
        <v>145852.73000000001</v>
      </c>
      <c r="AE183" s="238"/>
      <c r="AF183" s="238">
        <f t="shared" si="59"/>
        <v>0</v>
      </c>
      <c r="AG183" s="196">
        <v>175</v>
      </c>
      <c r="AH183" s="73" t="s">
        <v>598</v>
      </c>
      <c r="AI183" s="139" t="s">
        <v>599</v>
      </c>
      <c r="AJ183" s="238">
        <f t="shared" si="60"/>
        <v>0</v>
      </c>
      <c r="AK183" s="238"/>
      <c r="AL183" s="358" t="s">
        <v>598</v>
      </c>
      <c r="AM183" s="48">
        <v>170258.53000000009</v>
      </c>
      <c r="AN183" s="238" t="s">
        <v>598</v>
      </c>
      <c r="AO183" s="238">
        <v>145852.73000000001</v>
      </c>
      <c r="AQ183" s="472">
        <f t="shared" si="61"/>
        <v>0</v>
      </c>
      <c r="AS183" t="s">
        <v>598</v>
      </c>
      <c r="AT183" t="s">
        <v>1881</v>
      </c>
      <c r="AU183" s="48">
        <v>103998.39999999999</v>
      </c>
      <c r="AV183" s="48">
        <v>9102.24</v>
      </c>
      <c r="AW183" s="48">
        <v>532.32000000000005</v>
      </c>
      <c r="AX183" s="48">
        <v>0</v>
      </c>
      <c r="AY183" s="48">
        <v>21148.59</v>
      </c>
      <c r="AZ183" s="48">
        <v>4744.33</v>
      </c>
      <c r="BA183" s="48">
        <v>19.239999999999998</v>
      </c>
      <c r="BB183" s="48">
        <v>303.04000000000002</v>
      </c>
      <c r="BC183" s="48">
        <v>634.92999999999995</v>
      </c>
      <c r="BD183" s="48">
        <v>5369.64</v>
      </c>
      <c r="BE183" s="48"/>
      <c r="BF183" s="48">
        <f t="shared" si="56"/>
        <v>145852.73000000001</v>
      </c>
      <c r="BG183" s="48"/>
      <c r="BH183" s="48"/>
      <c r="BI183" s="48" t="str">
        <f t="shared" si="62"/>
        <v>32325</v>
      </c>
      <c r="BJ183" s="48">
        <f t="shared" si="63"/>
        <v>145852.73000000001</v>
      </c>
      <c r="BK183" s="628">
        <f t="shared" si="64"/>
        <v>0</v>
      </c>
    </row>
    <row r="184" spans="1:63">
      <c r="A184" s="196">
        <v>177</v>
      </c>
      <c r="B184" s="73" t="s">
        <v>681</v>
      </c>
      <c r="C184" s="139" t="s">
        <v>682</v>
      </c>
      <c r="D184" s="168">
        <v>11136.169999999998</v>
      </c>
      <c r="E184" s="170">
        <v>134429.70000000001</v>
      </c>
      <c r="F184" s="171">
        <f t="shared" si="70"/>
        <v>145565.87</v>
      </c>
      <c r="G184" s="181">
        <v>145565.87</v>
      </c>
      <c r="H184" s="178">
        <v>0</v>
      </c>
      <c r="I184" s="170">
        <v>194562.43</v>
      </c>
      <c r="J184" s="171">
        <f t="shared" si="71"/>
        <v>194562.43</v>
      </c>
      <c r="K184" s="202">
        <v>204434.27</v>
      </c>
      <c r="L184" s="171">
        <v>0</v>
      </c>
      <c r="M184" s="197">
        <v>189818.66999999998</v>
      </c>
      <c r="N184" s="171">
        <f t="shared" ref="N184:N212" si="72">+L184+M184</f>
        <v>189818.66999999998</v>
      </c>
      <c r="O184" s="202">
        <v>232371.99000000002</v>
      </c>
      <c r="P184" s="238">
        <v>0</v>
      </c>
      <c r="Q184" s="197">
        <v>214712.57999999996</v>
      </c>
      <c r="R184" s="171">
        <f t="shared" ref="R184:R212" si="73">+P184+Q184</f>
        <v>214712.57999999996</v>
      </c>
      <c r="S184" s="202">
        <v>238720.16</v>
      </c>
      <c r="T184" s="238">
        <v>0</v>
      </c>
      <c r="U184" s="238">
        <v>223870.35</v>
      </c>
      <c r="V184" s="171">
        <f t="shared" ref="V184:V212" si="74">+T184+U184</f>
        <v>223870.35</v>
      </c>
      <c r="W184" s="56">
        <v>243375.54999999996</v>
      </c>
      <c r="X184" s="568">
        <f t="shared" si="57"/>
        <v>0</v>
      </c>
      <c r="Y184" s="569">
        <v>250462.63999999996</v>
      </c>
      <c r="Z184" s="171">
        <f t="shared" ref="Z184:Z212" si="75">+X184+Y184</f>
        <v>250462.63999999996</v>
      </c>
      <c r="AA184" s="48">
        <v>284497.59000000014</v>
      </c>
      <c r="AB184" s="238">
        <f t="shared" si="58"/>
        <v>0</v>
      </c>
      <c r="AC184" s="238">
        <v>254008.31000000003</v>
      </c>
      <c r="AD184" s="171">
        <f t="shared" ref="AD184:AD212" si="76">+AB184+AC184</f>
        <v>254008.31000000003</v>
      </c>
      <c r="AE184" s="238"/>
      <c r="AF184" s="238">
        <f t="shared" si="59"/>
        <v>0</v>
      </c>
      <c r="AG184" s="196">
        <v>176</v>
      </c>
      <c r="AH184" s="73" t="s">
        <v>681</v>
      </c>
      <c r="AI184" s="139" t="s">
        <v>682</v>
      </c>
      <c r="AJ184" s="238">
        <f t="shared" si="60"/>
        <v>0</v>
      </c>
      <c r="AK184" s="238"/>
      <c r="AL184" s="358" t="s">
        <v>681</v>
      </c>
      <c r="AM184" s="48">
        <v>284497.59000000014</v>
      </c>
      <c r="AN184" s="238" t="s">
        <v>681</v>
      </c>
      <c r="AO184" s="238">
        <v>254008.31000000003</v>
      </c>
      <c r="AQ184" s="472">
        <f t="shared" si="61"/>
        <v>0</v>
      </c>
      <c r="AS184" t="s">
        <v>681</v>
      </c>
      <c r="AT184" t="s">
        <v>1926</v>
      </c>
      <c r="AU184" s="48">
        <v>161730.74</v>
      </c>
      <c r="AV184" s="48">
        <v>11395.2</v>
      </c>
      <c r="AW184" s="48">
        <v>1287.74</v>
      </c>
      <c r="AX184" s="48">
        <v>0</v>
      </c>
      <c r="AY184" s="48">
        <v>43732.37</v>
      </c>
      <c r="AZ184" s="48">
        <v>10532.35</v>
      </c>
      <c r="BA184" s="48">
        <v>9543.66</v>
      </c>
      <c r="BB184" s="48">
        <v>7983.01</v>
      </c>
      <c r="BC184" s="48">
        <v>892.26</v>
      </c>
      <c r="BD184" s="48">
        <v>6910.98</v>
      </c>
      <c r="BE184" s="48"/>
      <c r="BF184" s="48">
        <f t="shared" si="56"/>
        <v>254008.31000000003</v>
      </c>
      <c r="BG184" s="48"/>
      <c r="BH184" s="48"/>
      <c r="BI184" s="48" t="str">
        <f t="shared" si="62"/>
        <v>37506</v>
      </c>
      <c r="BJ184" s="48">
        <f t="shared" si="63"/>
        <v>254008.31000000003</v>
      </c>
      <c r="BK184" s="628">
        <f t="shared" si="64"/>
        <v>0</v>
      </c>
    </row>
    <row r="185" spans="1:63">
      <c r="A185" s="196">
        <v>178</v>
      </c>
      <c r="B185" s="73" t="s">
        <v>301</v>
      </c>
      <c r="C185" s="139" t="s">
        <v>302</v>
      </c>
      <c r="D185" s="168">
        <v>2831.7000000000007</v>
      </c>
      <c r="E185" s="170">
        <v>49364.789999999994</v>
      </c>
      <c r="F185" s="171">
        <f t="shared" ref="F185:F212" si="77">+D185+E185</f>
        <v>52196.489999999991</v>
      </c>
      <c r="G185" s="181">
        <v>27534.080000000002</v>
      </c>
      <c r="H185" s="178">
        <v>24662.409999999989</v>
      </c>
      <c r="I185" s="170">
        <v>76068.58</v>
      </c>
      <c r="J185" s="171">
        <f t="shared" ref="J185:J212" si="78">+H185+I185</f>
        <v>100730.98999999999</v>
      </c>
      <c r="K185" s="202">
        <v>59643.23</v>
      </c>
      <c r="L185" s="171">
        <v>41087.759999999987</v>
      </c>
      <c r="M185" s="197">
        <v>74388.38</v>
      </c>
      <c r="N185" s="171">
        <f t="shared" si="72"/>
        <v>115476.13999999998</v>
      </c>
      <c r="O185" s="202">
        <v>111317.34</v>
      </c>
      <c r="P185" s="238">
        <v>4158.7999999999884</v>
      </c>
      <c r="Q185" s="197">
        <v>73968.850000000006</v>
      </c>
      <c r="R185" s="171">
        <f t="shared" si="73"/>
        <v>78127.649999999994</v>
      </c>
      <c r="S185" s="202">
        <v>109493.43</v>
      </c>
      <c r="T185" s="238">
        <v>0</v>
      </c>
      <c r="U185" s="238">
        <v>71787.98</v>
      </c>
      <c r="V185" s="171">
        <f t="shared" si="74"/>
        <v>71787.98</v>
      </c>
      <c r="W185" s="56">
        <v>112769.31999999999</v>
      </c>
      <c r="X185" s="568">
        <f t="shared" si="57"/>
        <v>0</v>
      </c>
      <c r="Y185" s="569">
        <v>74358.390000000014</v>
      </c>
      <c r="Z185" s="171">
        <f t="shared" si="75"/>
        <v>74358.390000000014</v>
      </c>
      <c r="AA185" s="48">
        <v>116890.64999999998</v>
      </c>
      <c r="AB185" s="238">
        <f t="shared" si="58"/>
        <v>0</v>
      </c>
      <c r="AC185" s="238">
        <v>74158.450000000012</v>
      </c>
      <c r="AD185" s="171">
        <f t="shared" si="76"/>
        <v>74158.450000000012</v>
      </c>
      <c r="AE185" s="238"/>
      <c r="AF185" s="238">
        <f t="shared" si="59"/>
        <v>0</v>
      </c>
      <c r="AG185" s="196">
        <v>177</v>
      </c>
      <c r="AH185" s="73" t="s">
        <v>301</v>
      </c>
      <c r="AI185" s="139" t="s">
        <v>302</v>
      </c>
      <c r="AJ185" s="238">
        <f t="shared" si="60"/>
        <v>0</v>
      </c>
      <c r="AK185" s="238"/>
      <c r="AL185" s="358" t="s">
        <v>301</v>
      </c>
      <c r="AM185" s="48">
        <v>116890.64999999998</v>
      </c>
      <c r="AN185" s="238" t="s">
        <v>301</v>
      </c>
      <c r="AO185" s="238">
        <v>74158.450000000012</v>
      </c>
      <c r="AQ185" s="472">
        <f t="shared" si="61"/>
        <v>0</v>
      </c>
      <c r="AS185" t="s">
        <v>301</v>
      </c>
      <c r="AT185" t="s">
        <v>1730</v>
      </c>
      <c r="AU185" s="48">
        <v>51267.27</v>
      </c>
      <c r="AV185" s="48">
        <v>1967.19</v>
      </c>
      <c r="AW185" s="48">
        <v>692.21</v>
      </c>
      <c r="AX185" s="48">
        <v>0</v>
      </c>
      <c r="AY185" s="48">
        <v>10213.9</v>
      </c>
      <c r="AZ185" s="48">
        <v>4498.6400000000003</v>
      </c>
      <c r="BA185" s="48">
        <v>2822.83</v>
      </c>
      <c r="BB185" s="48">
        <v>374.63</v>
      </c>
      <c r="BC185" s="48">
        <v>274.42</v>
      </c>
      <c r="BD185" s="48">
        <v>2047.36</v>
      </c>
      <c r="BE185" s="48"/>
      <c r="BF185" s="48">
        <f t="shared" si="56"/>
        <v>74158.450000000012</v>
      </c>
      <c r="BG185" s="48"/>
      <c r="BH185" s="48"/>
      <c r="BI185" s="48" t="str">
        <f t="shared" si="62"/>
        <v>14064</v>
      </c>
      <c r="BJ185" s="48">
        <f t="shared" si="63"/>
        <v>74158.450000000012</v>
      </c>
      <c r="BK185" s="628">
        <f t="shared" si="64"/>
        <v>0</v>
      </c>
    </row>
    <row r="186" spans="1:63">
      <c r="A186" s="196">
        <v>179</v>
      </c>
      <c r="B186" s="73" t="s">
        <v>269</v>
      </c>
      <c r="C186" s="139" t="s">
        <v>270</v>
      </c>
      <c r="D186" s="168">
        <v>12259.650000000001</v>
      </c>
      <c r="E186" s="170">
        <v>145011.26</v>
      </c>
      <c r="F186" s="171">
        <f t="shared" si="77"/>
        <v>157270.91</v>
      </c>
      <c r="G186" s="181">
        <v>130044.62</v>
      </c>
      <c r="H186" s="178">
        <v>27226.290000000008</v>
      </c>
      <c r="I186" s="170">
        <v>206658.96000000002</v>
      </c>
      <c r="J186" s="171">
        <f t="shared" si="78"/>
        <v>233885.25000000003</v>
      </c>
      <c r="K186" s="202">
        <v>137316.6</v>
      </c>
      <c r="L186" s="171">
        <v>96568.650000000023</v>
      </c>
      <c r="M186" s="197">
        <v>213710.44</v>
      </c>
      <c r="N186" s="171">
        <f t="shared" si="72"/>
        <v>310279.09000000003</v>
      </c>
      <c r="O186" s="202">
        <v>213868.88</v>
      </c>
      <c r="P186" s="238">
        <v>96410.210000000021</v>
      </c>
      <c r="Q186" s="197">
        <v>228289.78000000003</v>
      </c>
      <c r="R186" s="171">
        <f t="shared" si="73"/>
        <v>324699.99000000005</v>
      </c>
      <c r="S186" s="202">
        <v>228624.81</v>
      </c>
      <c r="T186" s="238">
        <v>96075.180000000051</v>
      </c>
      <c r="U186" s="238">
        <v>222255.52999999997</v>
      </c>
      <c r="V186" s="171">
        <f t="shared" si="74"/>
        <v>318330.71000000002</v>
      </c>
      <c r="W186" s="56">
        <v>225376.84</v>
      </c>
      <c r="X186" s="568">
        <f t="shared" si="57"/>
        <v>92953.870000000024</v>
      </c>
      <c r="Y186" s="569">
        <v>244316.75999999998</v>
      </c>
      <c r="Z186" s="171">
        <f t="shared" si="75"/>
        <v>337270.63</v>
      </c>
      <c r="AA186" s="48">
        <v>232068.57000000004</v>
      </c>
      <c r="AB186" s="238">
        <f t="shared" si="58"/>
        <v>105202.05999999997</v>
      </c>
      <c r="AC186" s="238">
        <v>238662.31</v>
      </c>
      <c r="AD186" s="171">
        <f t="shared" si="76"/>
        <v>343864.37</v>
      </c>
      <c r="AE186" s="238"/>
      <c r="AF186" s="238">
        <f t="shared" si="59"/>
        <v>0</v>
      </c>
      <c r="AG186" s="196">
        <v>178</v>
      </c>
      <c r="AH186" s="73" t="s">
        <v>269</v>
      </c>
      <c r="AI186" s="139" t="s">
        <v>270</v>
      </c>
      <c r="AJ186" s="238">
        <f t="shared" si="60"/>
        <v>0</v>
      </c>
      <c r="AK186" s="238"/>
      <c r="AL186" s="358" t="s">
        <v>269</v>
      </c>
      <c r="AM186" s="48">
        <v>232068.57000000004</v>
      </c>
      <c r="AN186" s="238" t="s">
        <v>269</v>
      </c>
      <c r="AO186" s="238">
        <v>238662.31</v>
      </c>
      <c r="AQ186" s="472">
        <f t="shared" si="61"/>
        <v>0</v>
      </c>
      <c r="AS186" t="s">
        <v>269</v>
      </c>
      <c r="AT186" t="s">
        <v>1714</v>
      </c>
      <c r="AU186" s="48">
        <v>149611.5</v>
      </c>
      <c r="AV186" s="48">
        <v>11514.86</v>
      </c>
      <c r="AW186" s="48">
        <v>3030.96</v>
      </c>
      <c r="AX186" s="48">
        <v>0</v>
      </c>
      <c r="AY186" s="48">
        <v>30195.360000000001</v>
      </c>
      <c r="AZ186" s="48">
        <v>15086.95</v>
      </c>
      <c r="BA186" s="48">
        <v>9115.99</v>
      </c>
      <c r="BB186" s="48">
        <v>17891.28</v>
      </c>
      <c r="BC186" s="48">
        <v>858.72</v>
      </c>
      <c r="BD186" s="48">
        <v>1356.69</v>
      </c>
      <c r="BE186" s="48"/>
      <c r="BF186" s="48">
        <f t="shared" si="56"/>
        <v>238662.31</v>
      </c>
      <c r="BG186" s="48"/>
      <c r="BH186" s="48"/>
      <c r="BI186" s="48" t="str">
        <f t="shared" si="62"/>
        <v>11051</v>
      </c>
      <c r="BJ186" s="48">
        <f t="shared" si="63"/>
        <v>238662.31</v>
      </c>
      <c r="BK186" s="628">
        <f t="shared" si="64"/>
        <v>0</v>
      </c>
    </row>
    <row r="187" spans="1:63">
      <c r="A187" s="196">
        <v>180</v>
      </c>
      <c r="B187" s="73" t="s">
        <v>378</v>
      </c>
      <c r="C187" s="139" t="s">
        <v>379</v>
      </c>
      <c r="D187" s="168">
        <v>0</v>
      </c>
      <c r="E187" s="170">
        <v>410067.51000000007</v>
      </c>
      <c r="F187" s="171">
        <f t="shared" si="77"/>
        <v>410067.51000000007</v>
      </c>
      <c r="G187" s="181">
        <v>387816.66</v>
      </c>
      <c r="H187" s="178">
        <v>22250.850000000093</v>
      </c>
      <c r="I187" s="170">
        <v>552599.55000000005</v>
      </c>
      <c r="J187" s="171">
        <f t="shared" si="78"/>
        <v>574850.40000000014</v>
      </c>
      <c r="K187" s="202">
        <v>604994.7799999998</v>
      </c>
      <c r="L187" s="171">
        <v>0</v>
      </c>
      <c r="M187" s="197">
        <v>554195.63</v>
      </c>
      <c r="N187" s="171">
        <f t="shared" si="72"/>
        <v>554195.63</v>
      </c>
      <c r="O187" s="202">
        <v>668096.58000000007</v>
      </c>
      <c r="P187" s="238">
        <v>0</v>
      </c>
      <c r="Q187" s="197">
        <v>593796.18999999994</v>
      </c>
      <c r="R187" s="171">
        <f t="shared" si="73"/>
        <v>593796.18999999994</v>
      </c>
      <c r="S187" s="202">
        <v>692431.99999999988</v>
      </c>
      <c r="T187" s="238">
        <v>0</v>
      </c>
      <c r="U187" s="238">
        <v>627992.21000000008</v>
      </c>
      <c r="V187" s="171">
        <f t="shared" si="74"/>
        <v>627992.21000000008</v>
      </c>
      <c r="W187" s="56">
        <v>691188.02000000014</v>
      </c>
      <c r="X187" s="568">
        <f t="shared" si="57"/>
        <v>0</v>
      </c>
      <c r="Y187" s="569">
        <v>665265.63</v>
      </c>
      <c r="Z187" s="171">
        <f t="shared" si="75"/>
        <v>665265.63</v>
      </c>
      <c r="AA187" s="48">
        <v>698777.59000000043</v>
      </c>
      <c r="AB187" s="238">
        <f t="shared" si="58"/>
        <v>0</v>
      </c>
      <c r="AC187" s="238">
        <v>659648.35999999987</v>
      </c>
      <c r="AD187" s="171">
        <f t="shared" si="76"/>
        <v>659648.35999999987</v>
      </c>
      <c r="AE187" s="238"/>
      <c r="AF187" s="238">
        <f t="shared" si="59"/>
        <v>0</v>
      </c>
      <c r="AG187" s="196">
        <v>179</v>
      </c>
      <c r="AH187" s="73" t="s">
        <v>378</v>
      </c>
      <c r="AI187" s="139" t="s">
        <v>379</v>
      </c>
      <c r="AJ187" s="238">
        <f t="shared" si="60"/>
        <v>0</v>
      </c>
      <c r="AK187" s="238"/>
      <c r="AL187" s="358" t="s">
        <v>378</v>
      </c>
      <c r="AM187" s="48">
        <v>698777.59000000043</v>
      </c>
      <c r="AN187" s="238" t="s">
        <v>378</v>
      </c>
      <c r="AO187" s="238">
        <v>659648.35999999987</v>
      </c>
      <c r="AQ187" s="472">
        <f t="shared" si="61"/>
        <v>0</v>
      </c>
      <c r="AS187" t="s">
        <v>378</v>
      </c>
      <c r="AT187" t="s">
        <v>1771</v>
      </c>
      <c r="AU187" s="48">
        <v>493063.3</v>
      </c>
      <c r="AV187" s="48">
        <v>34049.18</v>
      </c>
      <c r="AW187" s="48">
        <v>9695.83</v>
      </c>
      <c r="AX187" s="48">
        <v>0</v>
      </c>
      <c r="AY187" s="48">
        <v>86776.46</v>
      </c>
      <c r="AZ187" s="48">
        <v>22308.87</v>
      </c>
      <c r="BA187" s="48">
        <v>1801.86</v>
      </c>
      <c r="BB187" s="48">
        <v>9120.2900000000009</v>
      </c>
      <c r="BC187" s="48">
        <v>2832.57</v>
      </c>
      <c r="BD187" s="48">
        <v>0</v>
      </c>
      <c r="BE187" s="48"/>
      <c r="BF187" s="48">
        <f t="shared" si="56"/>
        <v>659648.35999999987</v>
      </c>
      <c r="BG187" s="48"/>
      <c r="BH187" s="48"/>
      <c r="BI187" s="48" t="str">
        <f t="shared" si="62"/>
        <v>18400</v>
      </c>
      <c r="BJ187" s="48">
        <f t="shared" si="63"/>
        <v>659648.35999999987</v>
      </c>
      <c r="BK187" s="628">
        <f t="shared" si="64"/>
        <v>0</v>
      </c>
    </row>
    <row r="188" spans="1:63">
      <c r="A188" s="196">
        <v>181</v>
      </c>
      <c r="B188" s="73" t="s">
        <v>468</v>
      </c>
      <c r="C188" s="139" t="s">
        <v>469</v>
      </c>
      <c r="D188" s="168">
        <v>25235.920000000006</v>
      </c>
      <c r="E188" s="170">
        <v>158180.90000000002</v>
      </c>
      <c r="F188" s="171">
        <f t="shared" si="77"/>
        <v>183416.82000000004</v>
      </c>
      <c r="G188" s="181">
        <v>154322.26999999999</v>
      </c>
      <c r="H188" s="178">
        <v>29094.550000000047</v>
      </c>
      <c r="I188" s="170">
        <v>219456</v>
      </c>
      <c r="J188" s="171">
        <f t="shared" si="78"/>
        <v>248550.55000000005</v>
      </c>
      <c r="K188" s="202">
        <v>128537.95999999998</v>
      </c>
      <c r="L188" s="171">
        <v>120012.59000000007</v>
      </c>
      <c r="M188" s="197">
        <v>219197.66</v>
      </c>
      <c r="N188" s="171">
        <f t="shared" si="72"/>
        <v>339210.25000000006</v>
      </c>
      <c r="O188" s="202">
        <v>165877.89000000001</v>
      </c>
      <c r="P188" s="238">
        <v>173332.36000000004</v>
      </c>
      <c r="Q188" s="197">
        <v>242476.3</v>
      </c>
      <c r="R188" s="171">
        <f t="shared" si="73"/>
        <v>415808.66000000003</v>
      </c>
      <c r="S188" s="202">
        <v>299208.24</v>
      </c>
      <c r="T188" s="238">
        <v>116600.42000000004</v>
      </c>
      <c r="U188" s="238">
        <v>265512.60000000003</v>
      </c>
      <c r="V188" s="171">
        <f t="shared" si="74"/>
        <v>382113.02000000008</v>
      </c>
      <c r="W188" s="56">
        <v>289773.40000000002</v>
      </c>
      <c r="X188" s="568">
        <f t="shared" si="57"/>
        <v>92339.620000000054</v>
      </c>
      <c r="Y188" s="569">
        <v>283293.38</v>
      </c>
      <c r="Z188" s="171">
        <f t="shared" si="75"/>
        <v>375633.00000000006</v>
      </c>
      <c r="AA188" s="48">
        <v>338657.53</v>
      </c>
      <c r="AB188" s="238">
        <f t="shared" si="58"/>
        <v>36975.47000000003</v>
      </c>
      <c r="AC188" s="238">
        <v>277508.48000000004</v>
      </c>
      <c r="AD188" s="171">
        <f t="shared" si="76"/>
        <v>314483.95000000007</v>
      </c>
      <c r="AE188" s="238"/>
      <c r="AF188" s="238">
        <f t="shared" si="59"/>
        <v>0</v>
      </c>
      <c r="AG188" s="196">
        <v>180</v>
      </c>
      <c r="AH188" s="73" t="s">
        <v>468</v>
      </c>
      <c r="AI188" s="139" t="s">
        <v>469</v>
      </c>
      <c r="AJ188" s="238">
        <f t="shared" si="60"/>
        <v>0</v>
      </c>
      <c r="AK188" s="238"/>
      <c r="AL188" s="358" t="s">
        <v>468</v>
      </c>
      <c r="AM188" s="48">
        <v>338657.53</v>
      </c>
      <c r="AN188" s="238" t="s">
        <v>468</v>
      </c>
      <c r="AO188" s="238">
        <v>277508.48000000004</v>
      </c>
      <c r="AQ188" s="472">
        <f t="shared" si="61"/>
        <v>0</v>
      </c>
      <c r="AS188" t="s">
        <v>468</v>
      </c>
      <c r="AT188" t="s">
        <v>1817</v>
      </c>
      <c r="AU188" s="48">
        <v>179178.6</v>
      </c>
      <c r="AV188" s="48">
        <v>19520.23</v>
      </c>
      <c r="AW188" s="48">
        <v>7013.82</v>
      </c>
      <c r="AX188" s="48">
        <v>0</v>
      </c>
      <c r="AY188" s="48">
        <v>34419.919999999998</v>
      </c>
      <c r="AZ188" s="48">
        <v>14500.74</v>
      </c>
      <c r="BA188" s="48">
        <v>7571.53</v>
      </c>
      <c r="BB188" s="48">
        <v>10315.24</v>
      </c>
      <c r="BC188" s="48">
        <v>1099.9000000000001</v>
      </c>
      <c r="BD188" s="48">
        <v>3888.5</v>
      </c>
      <c r="BE188" s="48"/>
      <c r="BF188" s="48">
        <f t="shared" si="56"/>
        <v>277508.48000000004</v>
      </c>
      <c r="BG188" s="48"/>
      <c r="BH188" s="48"/>
      <c r="BI188" s="48" t="str">
        <f t="shared" si="62"/>
        <v>23403</v>
      </c>
      <c r="BJ188" s="48">
        <f t="shared" si="63"/>
        <v>277508.48000000004</v>
      </c>
      <c r="BK188" s="628">
        <f t="shared" si="64"/>
        <v>0</v>
      </c>
    </row>
    <row r="189" spans="1:63">
      <c r="A189" s="196">
        <v>182</v>
      </c>
      <c r="B189" s="73" t="s">
        <v>497</v>
      </c>
      <c r="C189" s="139" t="s">
        <v>498</v>
      </c>
      <c r="D189" s="168">
        <v>296.81999999999971</v>
      </c>
      <c r="E189" s="170">
        <v>12351.45</v>
      </c>
      <c r="F189" s="171">
        <f t="shared" si="77"/>
        <v>12648.27</v>
      </c>
      <c r="G189" s="181">
        <v>10486.93</v>
      </c>
      <c r="H189" s="178">
        <v>2161.34</v>
      </c>
      <c r="I189" s="170">
        <v>18992.990000000002</v>
      </c>
      <c r="J189" s="171">
        <f t="shared" si="78"/>
        <v>21154.33</v>
      </c>
      <c r="K189" s="202">
        <v>1641.92</v>
      </c>
      <c r="L189" s="171">
        <v>19512.410000000003</v>
      </c>
      <c r="M189" s="197">
        <v>19094.489999999998</v>
      </c>
      <c r="N189" s="171">
        <f t="shared" si="72"/>
        <v>38606.9</v>
      </c>
      <c r="O189" s="202">
        <v>1388.73</v>
      </c>
      <c r="P189" s="238">
        <v>37218.17</v>
      </c>
      <c r="Q189" s="197">
        <v>20516.62</v>
      </c>
      <c r="R189" s="171">
        <f t="shared" si="73"/>
        <v>57734.789999999994</v>
      </c>
      <c r="S189" s="202">
        <v>14536.38</v>
      </c>
      <c r="T189" s="238">
        <v>43198.409999999996</v>
      </c>
      <c r="U189" s="238">
        <v>20125.12</v>
      </c>
      <c r="V189" s="171">
        <f t="shared" si="74"/>
        <v>63323.53</v>
      </c>
      <c r="W189" s="56">
        <v>20476.14</v>
      </c>
      <c r="X189" s="568">
        <f t="shared" si="57"/>
        <v>42847.39</v>
      </c>
      <c r="Y189" s="569">
        <v>20652.810000000001</v>
      </c>
      <c r="Z189" s="171">
        <f t="shared" si="75"/>
        <v>63500.2</v>
      </c>
      <c r="AA189" s="48">
        <v>57993.88</v>
      </c>
      <c r="AB189" s="238">
        <f t="shared" si="58"/>
        <v>5506.32</v>
      </c>
      <c r="AC189" s="238">
        <v>21197.489999999998</v>
      </c>
      <c r="AD189" s="171">
        <f t="shared" si="76"/>
        <v>26703.809999999998</v>
      </c>
      <c r="AE189" s="238"/>
      <c r="AF189" s="238">
        <f t="shared" si="59"/>
        <v>0</v>
      </c>
      <c r="AG189" s="196">
        <v>181</v>
      </c>
      <c r="AH189" s="73" t="s">
        <v>497</v>
      </c>
      <c r="AI189" s="139" t="s">
        <v>498</v>
      </c>
      <c r="AJ189" s="238">
        <f t="shared" si="60"/>
        <v>0</v>
      </c>
      <c r="AK189" s="238"/>
      <c r="AL189" s="358" t="s">
        <v>497</v>
      </c>
      <c r="AM189" s="48">
        <v>57993.88</v>
      </c>
      <c r="AN189" s="238" t="s">
        <v>497</v>
      </c>
      <c r="AO189" s="238">
        <v>21197.489999999998</v>
      </c>
      <c r="AQ189" s="472">
        <f t="shared" si="61"/>
        <v>0</v>
      </c>
      <c r="AS189" t="s">
        <v>497</v>
      </c>
      <c r="AT189" t="s">
        <v>1831</v>
      </c>
      <c r="AU189" s="48">
        <v>19513.14</v>
      </c>
      <c r="AV189" s="48">
        <v>1.55</v>
      </c>
      <c r="AW189" s="48">
        <v>0</v>
      </c>
      <c r="AX189" s="48">
        <v>0</v>
      </c>
      <c r="AY189" s="48">
        <v>911.95</v>
      </c>
      <c r="AZ189" s="48">
        <v>306.8</v>
      </c>
      <c r="BA189" s="48">
        <v>235.88</v>
      </c>
      <c r="BB189" s="48">
        <v>0</v>
      </c>
      <c r="BC189" s="48">
        <v>0</v>
      </c>
      <c r="BD189" s="48">
        <v>228.17</v>
      </c>
      <c r="BE189" s="48"/>
      <c r="BF189" s="48">
        <f t="shared" si="56"/>
        <v>21197.489999999998</v>
      </c>
      <c r="BG189" s="48"/>
      <c r="BH189" s="48"/>
      <c r="BI189" s="48" t="str">
        <f t="shared" si="62"/>
        <v>25200</v>
      </c>
      <c r="BJ189" s="48">
        <f t="shared" si="63"/>
        <v>21197.489999999998</v>
      </c>
      <c r="BK189" s="628">
        <f t="shared" si="64"/>
        <v>0</v>
      </c>
    </row>
    <row r="190" spans="1:63">
      <c r="A190" s="196">
        <v>183</v>
      </c>
      <c r="B190" s="73" t="s">
        <v>642</v>
      </c>
      <c r="C190" s="139" t="s">
        <v>643</v>
      </c>
      <c r="D190" s="168">
        <v>0</v>
      </c>
      <c r="E190" s="170">
        <v>1017027.0499999999</v>
      </c>
      <c r="F190" s="171">
        <f t="shared" si="77"/>
        <v>1017027.0499999999</v>
      </c>
      <c r="G190" s="181">
        <v>1115646.95</v>
      </c>
      <c r="H190" s="178">
        <v>0</v>
      </c>
      <c r="I190" s="170">
        <v>1402368.38</v>
      </c>
      <c r="J190" s="171">
        <f t="shared" si="78"/>
        <v>1402368.38</v>
      </c>
      <c r="K190" s="202">
        <v>1893843.2699999996</v>
      </c>
      <c r="L190" s="171">
        <v>0</v>
      </c>
      <c r="M190" s="197">
        <v>1382115.5499999998</v>
      </c>
      <c r="N190" s="171">
        <f t="shared" si="72"/>
        <v>1382115.5499999998</v>
      </c>
      <c r="O190" s="202">
        <v>1960850.17</v>
      </c>
      <c r="P190" s="238">
        <v>0</v>
      </c>
      <c r="Q190" s="197">
        <v>1510152.53</v>
      </c>
      <c r="R190" s="171">
        <f t="shared" si="73"/>
        <v>1510152.53</v>
      </c>
      <c r="S190" s="202">
        <v>2077603.62</v>
      </c>
      <c r="T190" s="238">
        <v>0</v>
      </c>
      <c r="U190" s="238">
        <v>1534103.52</v>
      </c>
      <c r="V190" s="171">
        <f t="shared" si="74"/>
        <v>1534103.52</v>
      </c>
      <c r="W190" s="56">
        <v>1534103.52</v>
      </c>
      <c r="X190" s="568">
        <f t="shared" si="57"/>
        <v>0</v>
      </c>
      <c r="Y190" s="569">
        <v>1623596.9100000004</v>
      </c>
      <c r="Z190" s="171">
        <f t="shared" si="75"/>
        <v>1623596.9100000004</v>
      </c>
      <c r="AA190" s="48">
        <v>2099652.8299999982</v>
      </c>
      <c r="AB190" s="238">
        <f t="shared" si="58"/>
        <v>0</v>
      </c>
      <c r="AC190" s="238">
        <v>1611424.0099999998</v>
      </c>
      <c r="AD190" s="171">
        <f t="shared" si="76"/>
        <v>1611424.0099999998</v>
      </c>
      <c r="AE190" s="238"/>
      <c r="AF190" s="238">
        <f t="shared" si="59"/>
        <v>0</v>
      </c>
      <c r="AG190" s="196">
        <v>182</v>
      </c>
      <c r="AH190" s="73" t="s">
        <v>642</v>
      </c>
      <c r="AI190" s="139" t="s">
        <v>643</v>
      </c>
      <c r="AJ190" s="238">
        <f t="shared" si="60"/>
        <v>0</v>
      </c>
      <c r="AK190" s="238"/>
      <c r="AL190" s="358" t="s">
        <v>642</v>
      </c>
      <c r="AM190" s="48">
        <v>2099652.8299999982</v>
      </c>
      <c r="AN190" s="238" t="s">
        <v>642</v>
      </c>
      <c r="AO190" s="238">
        <v>1611424.0099999998</v>
      </c>
      <c r="AQ190" s="472">
        <f t="shared" si="61"/>
        <v>0</v>
      </c>
      <c r="AS190" t="s">
        <v>642</v>
      </c>
      <c r="AT190" t="s">
        <v>1905</v>
      </c>
      <c r="AU190" s="48">
        <v>1123237.92</v>
      </c>
      <c r="AV190" s="48">
        <v>71716.210000000006</v>
      </c>
      <c r="AW190" s="48">
        <v>18085.54</v>
      </c>
      <c r="AX190" s="48">
        <v>0</v>
      </c>
      <c r="AY190" s="48">
        <v>264974.43</v>
      </c>
      <c r="AZ190" s="48">
        <v>67072.649999999994</v>
      </c>
      <c r="BA190" s="48">
        <v>21114.95</v>
      </c>
      <c r="BB190" s="48">
        <v>26278.06</v>
      </c>
      <c r="BC190" s="48">
        <v>6481.25</v>
      </c>
      <c r="BD190" s="48">
        <v>12463</v>
      </c>
      <c r="BE190" s="48"/>
      <c r="BF190" s="48">
        <f t="shared" si="56"/>
        <v>1611424.0099999998</v>
      </c>
      <c r="BG190" s="48"/>
      <c r="BH190" s="48"/>
      <c r="BI190" s="48" t="str">
        <f t="shared" si="62"/>
        <v>34003</v>
      </c>
      <c r="BJ190" s="48">
        <f t="shared" si="63"/>
        <v>1611424.0099999998</v>
      </c>
      <c r="BK190" s="628">
        <f t="shared" si="64"/>
        <v>0</v>
      </c>
    </row>
    <row r="191" spans="1:63">
      <c r="A191" s="196">
        <v>184</v>
      </c>
      <c r="B191" s="73" t="s">
        <v>636</v>
      </c>
      <c r="C191" s="139" t="s">
        <v>637</v>
      </c>
      <c r="D191" s="168">
        <v>1411.3899999999994</v>
      </c>
      <c r="E191" s="170">
        <v>15451.06</v>
      </c>
      <c r="F191" s="171">
        <f t="shared" si="77"/>
        <v>16862.449999999997</v>
      </c>
      <c r="G191" s="181">
        <v>13580.35</v>
      </c>
      <c r="H191" s="178">
        <v>3282.0999999999967</v>
      </c>
      <c r="I191" s="170">
        <v>24233.920000000002</v>
      </c>
      <c r="J191" s="171">
        <f t="shared" si="78"/>
        <v>27516.019999999997</v>
      </c>
      <c r="K191" s="202">
        <v>13423.119999999999</v>
      </c>
      <c r="L191" s="171">
        <v>14092.899999999998</v>
      </c>
      <c r="M191" s="197">
        <v>24210.14</v>
      </c>
      <c r="N191" s="171">
        <f t="shared" si="72"/>
        <v>38303.039999999994</v>
      </c>
      <c r="O191" s="202">
        <v>24018.92</v>
      </c>
      <c r="P191" s="238">
        <v>14284.119999999995</v>
      </c>
      <c r="Q191" s="197">
        <v>26607.74</v>
      </c>
      <c r="R191" s="171">
        <f t="shared" si="73"/>
        <v>40891.86</v>
      </c>
      <c r="S191" s="202">
        <v>27760.519999999997</v>
      </c>
      <c r="T191" s="238">
        <v>13131.340000000004</v>
      </c>
      <c r="U191" s="238">
        <v>27780.670000000002</v>
      </c>
      <c r="V191" s="171">
        <f t="shared" si="74"/>
        <v>40912.010000000009</v>
      </c>
      <c r="W191" s="56">
        <v>31149.750000000004</v>
      </c>
      <c r="X191" s="568">
        <f t="shared" si="57"/>
        <v>9762.2600000000057</v>
      </c>
      <c r="Y191" s="569">
        <v>29673</v>
      </c>
      <c r="Z191" s="171">
        <f t="shared" si="75"/>
        <v>39435.260000000009</v>
      </c>
      <c r="AA191" s="48">
        <v>38581.359999999993</v>
      </c>
      <c r="AB191" s="238">
        <f t="shared" si="58"/>
        <v>853.90000000001601</v>
      </c>
      <c r="AC191" s="238">
        <v>29793.739999999998</v>
      </c>
      <c r="AD191" s="171">
        <f t="shared" si="76"/>
        <v>30647.640000000014</v>
      </c>
      <c r="AE191" s="238"/>
      <c r="AF191" s="238">
        <f t="shared" si="59"/>
        <v>0</v>
      </c>
      <c r="AG191" s="196">
        <v>183</v>
      </c>
      <c r="AH191" s="73" t="s">
        <v>636</v>
      </c>
      <c r="AI191" s="139" t="s">
        <v>637</v>
      </c>
      <c r="AJ191" s="238">
        <f t="shared" si="60"/>
        <v>0</v>
      </c>
      <c r="AK191" s="238"/>
      <c r="AL191" s="358" t="s">
        <v>636</v>
      </c>
      <c r="AM191" s="48">
        <v>38581.359999999993</v>
      </c>
      <c r="AN191" s="238" t="s">
        <v>636</v>
      </c>
      <c r="AO191" s="238">
        <v>29793.739999999998</v>
      </c>
      <c r="AQ191" s="472">
        <f t="shared" si="61"/>
        <v>0</v>
      </c>
      <c r="AS191" t="s">
        <v>636</v>
      </c>
      <c r="AT191" t="s">
        <v>1902</v>
      </c>
      <c r="AU191" s="48">
        <v>22857.05</v>
      </c>
      <c r="AV191" s="48">
        <v>514.92999999999995</v>
      </c>
      <c r="AW191" s="48">
        <v>0</v>
      </c>
      <c r="AX191" s="48">
        <v>0</v>
      </c>
      <c r="AY191" s="48">
        <v>3870.25</v>
      </c>
      <c r="AZ191" s="48">
        <v>1678.9</v>
      </c>
      <c r="BA191" s="48">
        <v>761.6</v>
      </c>
      <c r="BB191" s="48">
        <v>0</v>
      </c>
      <c r="BC191" s="48">
        <v>111.01</v>
      </c>
      <c r="BD191" s="48">
        <v>0</v>
      </c>
      <c r="BE191" s="48"/>
      <c r="BF191" s="48">
        <f t="shared" si="56"/>
        <v>29793.739999999998</v>
      </c>
      <c r="BG191" s="48"/>
      <c r="BH191" s="48"/>
      <c r="BI191" s="48" t="str">
        <f t="shared" si="62"/>
        <v>33211</v>
      </c>
      <c r="BJ191" s="48">
        <f t="shared" si="63"/>
        <v>29793.739999999998</v>
      </c>
      <c r="BK191" s="628">
        <f t="shared" si="64"/>
        <v>0</v>
      </c>
    </row>
    <row r="192" spans="1:63">
      <c r="A192" s="196">
        <v>185</v>
      </c>
      <c r="B192" s="73" t="s">
        <v>372</v>
      </c>
      <c r="C192" s="139" t="s">
        <v>373</v>
      </c>
      <c r="D192" s="168">
        <v>40720.999999999884</v>
      </c>
      <c r="E192" s="170">
        <v>1606706.9</v>
      </c>
      <c r="F192" s="171">
        <f t="shared" si="77"/>
        <v>1647427.9</v>
      </c>
      <c r="G192" s="181">
        <v>1584338.58</v>
      </c>
      <c r="H192" s="178">
        <v>63089.319999999832</v>
      </c>
      <c r="I192" s="170">
        <v>2325953.86</v>
      </c>
      <c r="J192" s="171">
        <f t="shared" si="78"/>
        <v>2389043.1799999997</v>
      </c>
      <c r="K192" s="202">
        <v>2307691.66</v>
      </c>
      <c r="L192" s="171">
        <v>81351.519999999553</v>
      </c>
      <c r="M192" s="197">
        <v>2304827.0099999998</v>
      </c>
      <c r="N192" s="171">
        <f t="shared" si="72"/>
        <v>2386178.5299999993</v>
      </c>
      <c r="O192" s="202">
        <v>2386178.54</v>
      </c>
      <c r="P192" s="238">
        <v>0</v>
      </c>
      <c r="Q192" s="197">
        <v>2511815.15</v>
      </c>
      <c r="R192" s="171">
        <f t="shared" si="73"/>
        <v>2511815.15</v>
      </c>
      <c r="S192" s="202">
        <v>2511815.15</v>
      </c>
      <c r="T192" s="238">
        <v>0</v>
      </c>
      <c r="U192" s="238">
        <v>2564714.29</v>
      </c>
      <c r="V192" s="171">
        <f t="shared" si="74"/>
        <v>2564714.29</v>
      </c>
      <c r="W192" s="56">
        <v>2564714.2900000033</v>
      </c>
      <c r="X192" s="568">
        <f t="shared" si="57"/>
        <v>0</v>
      </c>
      <c r="Y192" s="569">
        <v>2685081.7699999996</v>
      </c>
      <c r="Z192" s="171">
        <f t="shared" si="75"/>
        <v>2685081.7699999996</v>
      </c>
      <c r="AA192" s="48">
        <v>2646626.2199999974</v>
      </c>
      <c r="AB192" s="238">
        <f t="shared" si="58"/>
        <v>38455.550000002142</v>
      </c>
      <c r="AC192" s="238">
        <v>2539276.6700000004</v>
      </c>
      <c r="AD192" s="171">
        <f t="shared" si="76"/>
        <v>2577732.2200000025</v>
      </c>
      <c r="AE192" s="238"/>
      <c r="AF192" s="238">
        <f t="shared" si="59"/>
        <v>0</v>
      </c>
      <c r="AG192" s="196">
        <v>184</v>
      </c>
      <c r="AH192" s="73" t="s">
        <v>372</v>
      </c>
      <c r="AI192" s="139" t="s">
        <v>373</v>
      </c>
      <c r="AJ192" s="238">
        <f t="shared" si="60"/>
        <v>0</v>
      </c>
      <c r="AK192" s="238"/>
      <c r="AL192" s="358" t="s">
        <v>372</v>
      </c>
      <c r="AM192" s="48">
        <v>2646626.2199999974</v>
      </c>
      <c r="AN192" s="238" t="s">
        <v>372</v>
      </c>
      <c r="AO192" s="238">
        <v>2539276.6700000004</v>
      </c>
      <c r="AQ192" s="472">
        <f t="shared" si="61"/>
        <v>0</v>
      </c>
      <c r="AS192" t="s">
        <v>372</v>
      </c>
      <c r="AT192" t="s">
        <v>1767</v>
      </c>
      <c r="AU192" s="48">
        <v>2049318.72</v>
      </c>
      <c r="AV192" s="48">
        <v>107499.63</v>
      </c>
      <c r="AW192" s="48">
        <v>18179.18</v>
      </c>
      <c r="AX192" s="48">
        <v>0</v>
      </c>
      <c r="AY192" s="48">
        <v>230872.4</v>
      </c>
      <c r="AZ192" s="48">
        <v>45494.33</v>
      </c>
      <c r="BA192" s="48">
        <v>0</v>
      </c>
      <c r="BB192" s="48">
        <v>76398.75</v>
      </c>
      <c r="BC192" s="48">
        <v>11513.66</v>
      </c>
      <c r="BD192" s="48">
        <v>0</v>
      </c>
      <c r="BE192" s="48"/>
      <c r="BF192" s="48">
        <f t="shared" si="56"/>
        <v>2539276.6700000004</v>
      </c>
      <c r="BG192" s="48"/>
      <c r="BH192" s="48"/>
      <c r="BI192" s="48" t="str">
        <f t="shared" si="62"/>
        <v>17417</v>
      </c>
      <c r="BJ192" s="48">
        <f t="shared" si="63"/>
        <v>2539276.6700000004</v>
      </c>
      <c r="BK192" s="628">
        <f t="shared" si="64"/>
        <v>0</v>
      </c>
    </row>
    <row r="193" spans="1:63">
      <c r="A193" s="196">
        <v>186</v>
      </c>
      <c r="B193" s="73" t="s">
        <v>322</v>
      </c>
      <c r="C193" s="139" t="s">
        <v>323</v>
      </c>
      <c r="D193" s="168">
        <v>47274.320000000007</v>
      </c>
      <c r="E193" s="170">
        <v>409732.80000000005</v>
      </c>
      <c r="F193" s="171">
        <f t="shared" si="77"/>
        <v>457007.12000000005</v>
      </c>
      <c r="G193" s="181">
        <v>349380.15</v>
      </c>
      <c r="H193" s="178">
        <v>107626.97000000003</v>
      </c>
      <c r="I193" s="170">
        <v>557083.54999999993</v>
      </c>
      <c r="J193" s="171">
        <f t="shared" si="78"/>
        <v>664710.52</v>
      </c>
      <c r="K193" s="202">
        <v>585251.85000000009</v>
      </c>
      <c r="L193" s="171">
        <v>79458.669999999925</v>
      </c>
      <c r="M193" s="197">
        <v>554706.57999999996</v>
      </c>
      <c r="N193" s="171">
        <f t="shared" si="72"/>
        <v>634165.24999999988</v>
      </c>
      <c r="O193" s="202">
        <v>766134.72000000009</v>
      </c>
      <c r="P193" s="238">
        <v>0</v>
      </c>
      <c r="Q193" s="197">
        <v>606757.06999999995</v>
      </c>
      <c r="R193" s="171">
        <f t="shared" si="73"/>
        <v>606757.06999999995</v>
      </c>
      <c r="S193" s="202">
        <v>783053.92000000016</v>
      </c>
      <c r="T193" s="238">
        <v>0</v>
      </c>
      <c r="U193" s="238">
        <v>632246.59000000008</v>
      </c>
      <c r="V193" s="171">
        <f t="shared" si="74"/>
        <v>632246.59000000008</v>
      </c>
      <c r="W193" s="56">
        <v>674688.53000000014</v>
      </c>
      <c r="X193" s="568">
        <f t="shared" si="57"/>
        <v>0</v>
      </c>
      <c r="Y193" s="569">
        <v>651722.30000000005</v>
      </c>
      <c r="Z193" s="171">
        <f t="shared" si="75"/>
        <v>651722.30000000005</v>
      </c>
      <c r="AA193" s="48">
        <v>694932.27999999956</v>
      </c>
      <c r="AB193" s="238">
        <f t="shared" si="58"/>
        <v>0</v>
      </c>
      <c r="AC193" s="238">
        <v>660788.21</v>
      </c>
      <c r="AD193" s="171">
        <f t="shared" si="76"/>
        <v>660788.21</v>
      </c>
      <c r="AE193" s="238"/>
      <c r="AF193" s="238">
        <f t="shared" si="59"/>
        <v>0</v>
      </c>
      <c r="AG193" s="196">
        <v>185</v>
      </c>
      <c r="AH193" s="73" t="s">
        <v>322</v>
      </c>
      <c r="AI193" s="139" t="s">
        <v>323</v>
      </c>
      <c r="AJ193" s="238">
        <f t="shared" si="60"/>
        <v>0</v>
      </c>
      <c r="AK193" s="238"/>
      <c r="AL193" s="358" t="s">
        <v>322</v>
      </c>
      <c r="AM193" s="48">
        <v>694932.27999999956</v>
      </c>
      <c r="AN193" s="238" t="s">
        <v>322</v>
      </c>
      <c r="AO193" s="238">
        <v>660788.21</v>
      </c>
      <c r="AQ193" s="472">
        <f t="shared" si="61"/>
        <v>0</v>
      </c>
      <c r="AS193" t="s">
        <v>322</v>
      </c>
      <c r="AT193" t="s">
        <v>1741</v>
      </c>
      <c r="AU193" s="48">
        <v>443213.65</v>
      </c>
      <c r="AV193" s="48">
        <v>37560.68</v>
      </c>
      <c r="AW193" s="48">
        <v>3201.29</v>
      </c>
      <c r="AX193" s="48">
        <v>0</v>
      </c>
      <c r="AY193" s="48">
        <v>131388.57</v>
      </c>
      <c r="AZ193" s="48">
        <v>24945.48</v>
      </c>
      <c r="BA193" s="48">
        <v>4176.8599999999997</v>
      </c>
      <c r="BB193" s="48">
        <v>6943.02</v>
      </c>
      <c r="BC193" s="48">
        <v>2645.29</v>
      </c>
      <c r="BD193" s="48">
        <v>6713.37</v>
      </c>
      <c r="BE193" s="48"/>
      <c r="BF193" s="48">
        <f t="shared" si="56"/>
        <v>660788.21</v>
      </c>
      <c r="BG193" s="48"/>
      <c r="BH193" s="48"/>
      <c r="BI193" s="48" t="str">
        <f t="shared" si="62"/>
        <v>15201</v>
      </c>
      <c r="BJ193" s="48">
        <f t="shared" si="63"/>
        <v>660788.21</v>
      </c>
      <c r="BK193" s="628">
        <f t="shared" si="64"/>
        <v>0</v>
      </c>
    </row>
    <row r="194" spans="1:63">
      <c r="A194" s="196">
        <v>187</v>
      </c>
      <c r="B194" s="73" t="s">
        <v>709</v>
      </c>
      <c r="C194" s="139" t="s">
        <v>710</v>
      </c>
      <c r="D194" s="168">
        <v>318.81999999999971</v>
      </c>
      <c r="E194" s="170">
        <v>14118.189999999999</v>
      </c>
      <c r="F194" s="171">
        <f t="shared" si="77"/>
        <v>14437.009999999998</v>
      </c>
      <c r="G194" s="181">
        <v>17754.79</v>
      </c>
      <c r="H194" s="178">
        <v>0</v>
      </c>
      <c r="I194" s="170">
        <v>23161.949999999997</v>
      </c>
      <c r="J194" s="171">
        <f t="shared" si="78"/>
        <v>23161.949999999997</v>
      </c>
      <c r="K194" s="202">
        <v>39091.019999999997</v>
      </c>
      <c r="L194" s="171">
        <v>0</v>
      </c>
      <c r="M194" s="197">
        <v>24318.48</v>
      </c>
      <c r="N194" s="171">
        <f t="shared" si="72"/>
        <v>24318.48</v>
      </c>
      <c r="O194" s="202">
        <v>24792.320000000003</v>
      </c>
      <c r="P194" s="238">
        <v>0</v>
      </c>
      <c r="Q194" s="197">
        <v>25724.799999999996</v>
      </c>
      <c r="R194" s="171">
        <f t="shared" si="73"/>
        <v>25724.799999999996</v>
      </c>
      <c r="S194" s="202">
        <v>34259.22</v>
      </c>
      <c r="T194" s="238">
        <v>0</v>
      </c>
      <c r="U194" s="238">
        <v>26148.500000000004</v>
      </c>
      <c r="V194" s="171">
        <f t="shared" si="74"/>
        <v>26148.500000000004</v>
      </c>
      <c r="W194" s="56">
        <v>23864.690000000002</v>
      </c>
      <c r="X194" s="568">
        <f t="shared" si="57"/>
        <v>2283.8100000000013</v>
      </c>
      <c r="Y194" s="569">
        <v>26389.670000000002</v>
      </c>
      <c r="Z194" s="171">
        <f t="shared" si="75"/>
        <v>28673.480000000003</v>
      </c>
      <c r="AA194" s="48">
        <v>34266.78</v>
      </c>
      <c r="AB194" s="238">
        <f t="shared" si="58"/>
        <v>0</v>
      </c>
      <c r="AC194" s="238">
        <v>25089.760000000002</v>
      </c>
      <c r="AD194" s="171">
        <f t="shared" si="76"/>
        <v>25089.760000000002</v>
      </c>
      <c r="AE194" s="238"/>
      <c r="AF194" s="238">
        <f t="shared" si="59"/>
        <v>0</v>
      </c>
      <c r="AG194" s="196">
        <v>186</v>
      </c>
      <c r="AH194" s="73" t="s">
        <v>709</v>
      </c>
      <c r="AI194" s="139" t="s">
        <v>710</v>
      </c>
      <c r="AJ194" s="238">
        <f t="shared" si="60"/>
        <v>0</v>
      </c>
      <c r="AK194" s="238"/>
      <c r="AL194" s="358" t="s">
        <v>709</v>
      </c>
      <c r="AM194" s="48">
        <v>34266.78</v>
      </c>
      <c r="AN194" s="238" t="s">
        <v>709</v>
      </c>
      <c r="AO194" s="238">
        <v>25089.760000000002</v>
      </c>
      <c r="AQ194" s="472">
        <f t="shared" si="61"/>
        <v>0</v>
      </c>
      <c r="AS194" t="s">
        <v>709</v>
      </c>
      <c r="AT194" t="s">
        <v>1941</v>
      </c>
      <c r="AU194" s="48">
        <v>20277.810000000001</v>
      </c>
      <c r="AV194" s="48">
        <v>832.52</v>
      </c>
      <c r="AW194" s="48">
        <v>205.05</v>
      </c>
      <c r="AX194" s="48">
        <v>0</v>
      </c>
      <c r="AY194" s="48">
        <v>2123.2399999999998</v>
      </c>
      <c r="AZ194" s="48">
        <v>592.01</v>
      </c>
      <c r="BA194" s="48">
        <v>0</v>
      </c>
      <c r="BB194" s="48">
        <v>0</v>
      </c>
      <c r="BC194" s="48">
        <v>57.04</v>
      </c>
      <c r="BD194" s="48">
        <v>1002.09</v>
      </c>
      <c r="BE194" s="48"/>
      <c r="BF194" s="48">
        <f t="shared" si="56"/>
        <v>25089.760000000002</v>
      </c>
      <c r="BG194" s="48"/>
      <c r="BH194" s="48"/>
      <c r="BI194" s="48" t="str">
        <f t="shared" si="62"/>
        <v>38324</v>
      </c>
      <c r="BJ194" s="48">
        <f t="shared" si="63"/>
        <v>25089.760000000002</v>
      </c>
      <c r="BK194" s="628">
        <f t="shared" si="64"/>
        <v>0</v>
      </c>
    </row>
    <row r="195" spans="1:63">
      <c r="A195" s="196">
        <v>188</v>
      </c>
      <c r="B195" s="73" t="s">
        <v>320</v>
      </c>
      <c r="C195" s="139" t="s">
        <v>321</v>
      </c>
      <c r="D195" s="168">
        <v>0</v>
      </c>
      <c r="E195" s="170">
        <v>22326.97</v>
      </c>
      <c r="F195" s="171">
        <f t="shared" si="77"/>
        <v>22326.97</v>
      </c>
      <c r="G195" s="181">
        <v>31376.75</v>
      </c>
      <c r="H195" s="178">
        <v>0</v>
      </c>
      <c r="I195" s="170">
        <v>34755.409999999996</v>
      </c>
      <c r="J195" s="171">
        <f t="shared" si="78"/>
        <v>34755.409999999996</v>
      </c>
      <c r="K195" s="202">
        <v>26776.199999999997</v>
      </c>
      <c r="L195" s="171">
        <v>7979.2099999999991</v>
      </c>
      <c r="M195" s="197">
        <v>36881.83</v>
      </c>
      <c r="N195" s="171">
        <f t="shared" si="72"/>
        <v>44861.04</v>
      </c>
      <c r="O195" s="202">
        <v>34967.18</v>
      </c>
      <c r="P195" s="238">
        <v>9893.86</v>
      </c>
      <c r="Q195" s="197">
        <v>41202.979999999996</v>
      </c>
      <c r="R195" s="171">
        <f t="shared" si="73"/>
        <v>51096.84</v>
      </c>
      <c r="S195" s="202">
        <v>36413.640000000007</v>
      </c>
      <c r="T195" s="238">
        <v>14683.19999999999</v>
      </c>
      <c r="U195" s="238">
        <v>39927.870000000003</v>
      </c>
      <c r="V195" s="171">
        <f t="shared" si="74"/>
        <v>54611.069999999992</v>
      </c>
      <c r="W195" s="56">
        <v>37059.529999999992</v>
      </c>
      <c r="X195" s="568">
        <f t="shared" si="57"/>
        <v>17551.54</v>
      </c>
      <c r="Y195" s="569">
        <v>44052.509999999995</v>
      </c>
      <c r="Z195" s="171">
        <f t="shared" si="75"/>
        <v>61604.049999999996</v>
      </c>
      <c r="AA195" s="48">
        <v>52329.359999999993</v>
      </c>
      <c r="AB195" s="238">
        <f t="shared" si="58"/>
        <v>9274.6900000000023</v>
      </c>
      <c r="AC195" s="238">
        <v>45850.6</v>
      </c>
      <c r="AD195" s="171">
        <f t="shared" si="76"/>
        <v>55125.29</v>
      </c>
      <c r="AE195" s="238"/>
      <c r="AF195" s="238">
        <f t="shared" si="59"/>
        <v>0</v>
      </c>
      <c r="AG195" s="196">
        <v>187</v>
      </c>
      <c r="AH195" s="73" t="s">
        <v>320</v>
      </c>
      <c r="AI195" s="139" t="s">
        <v>321</v>
      </c>
      <c r="AJ195" s="238">
        <f t="shared" si="60"/>
        <v>0</v>
      </c>
      <c r="AK195" s="238"/>
      <c r="AL195" s="358" t="s">
        <v>320</v>
      </c>
      <c r="AM195" s="48">
        <v>52329.359999999993</v>
      </c>
      <c r="AN195" s="238" t="s">
        <v>320</v>
      </c>
      <c r="AO195" s="238">
        <v>45850.6</v>
      </c>
      <c r="AQ195" s="472">
        <f t="shared" si="61"/>
        <v>0</v>
      </c>
      <c r="AS195" t="s">
        <v>320</v>
      </c>
      <c r="AT195" t="s">
        <v>1740</v>
      </c>
      <c r="AU195" s="48">
        <v>30007.4</v>
      </c>
      <c r="AV195" s="48">
        <v>2654.79</v>
      </c>
      <c r="AW195" s="48">
        <v>155.71</v>
      </c>
      <c r="AX195" s="48">
        <v>0</v>
      </c>
      <c r="AY195" s="48">
        <v>7086.41</v>
      </c>
      <c r="AZ195" s="48">
        <v>2375.7399999999998</v>
      </c>
      <c r="BA195" s="48">
        <v>1455.36</v>
      </c>
      <c r="BB195" s="48">
        <v>0</v>
      </c>
      <c r="BC195" s="48">
        <v>137.21</v>
      </c>
      <c r="BD195" s="48">
        <v>1977.98</v>
      </c>
      <c r="BE195" s="48"/>
      <c r="BF195" s="48">
        <f t="shared" si="56"/>
        <v>45850.6</v>
      </c>
      <c r="BG195" s="48"/>
      <c r="BH195" s="48"/>
      <c r="BI195" s="48" t="str">
        <f t="shared" si="62"/>
        <v>14400</v>
      </c>
      <c r="BJ195" s="48">
        <f t="shared" si="63"/>
        <v>45850.6</v>
      </c>
      <c r="BK195" s="628">
        <f t="shared" si="64"/>
        <v>0</v>
      </c>
    </row>
    <row r="196" spans="1:63">
      <c r="A196" s="196">
        <v>189</v>
      </c>
      <c r="B196" s="73" t="s">
        <v>488</v>
      </c>
      <c r="C196" s="139" t="s">
        <v>489</v>
      </c>
      <c r="D196" s="168">
        <v>5202.3099999999977</v>
      </c>
      <c r="E196" s="170">
        <v>56376.03</v>
      </c>
      <c r="F196" s="171">
        <f t="shared" si="77"/>
        <v>61578.34</v>
      </c>
      <c r="G196" s="181">
        <v>67599.960000000006</v>
      </c>
      <c r="H196" s="178">
        <v>0</v>
      </c>
      <c r="I196" s="170">
        <v>83015.09</v>
      </c>
      <c r="J196" s="171">
        <f t="shared" si="78"/>
        <v>83015.09</v>
      </c>
      <c r="K196" s="202">
        <v>37657.599999999999</v>
      </c>
      <c r="L196" s="171">
        <v>45357.49</v>
      </c>
      <c r="M196" s="197">
        <v>80880.72</v>
      </c>
      <c r="N196" s="171">
        <f t="shared" si="72"/>
        <v>126238.20999999999</v>
      </c>
      <c r="O196" s="202">
        <v>107008.72</v>
      </c>
      <c r="P196" s="238">
        <v>19229.489999999991</v>
      </c>
      <c r="Q196" s="197">
        <v>91625.420000000013</v>
      </c>
      <c r="R196" s="171">
        <f t="shared" si="73"/>
        <v>110854.91</v>
      </c>
      <c r="S196" s="202">
        <v>98779.23000000001</v>
      </c>
      <c r="T196" s="238">
        <v>12075.679999999993</v>
      </c>
      <c r="U196" s="238">
        <v>87518.69</v>
      </c>
      <c r="V196" s="171">
        <f t="shared" si="74"/>
        <v>99594.37</v>
      </c>
      <c r="W196" s="56">
        <v>87383.07</v>
      </c>
      <c r="X196" s="568">
        <f t="shared" si="57"/>
        <v>12211.299999999988</v>
      </c>
      <c r="Y196" s="569">
        <v>90682.59</v>
      </c>
      <c r="Z196" s="171">
        <f t="shared" si="75"/>
        <v>102893.88999999998</v>
      </c>
      <c r="AA196" s="48">
        <v>78558.260000000038</v>
      </c>
      <c r="AB196" s="238">
        <f t="shared" si="58"/>
        <v>24335.629999999946</v>
      </c>
      <c r="AC196" s="238">
        <v>85970.67</v>
      </c>
      <c r="AD196" s="171">
        <f t="shared" si="76"/>
        <v>110306.29999999994</v>
      </c>
      <c r="AE196" s="238"/>
      <c r="AF196" s="238">
        <f t="shared" si="59"/>
        <v>0</v>
      </c>
      <c r="AG196" s="196">
        <v>188</v>
      </c>
      <c r="AH196" s="73" t="s">
        <v>488</v>
      </c>
      <c r="AI196" s="139" t="s">
        <v>489</v>
      </c>
      <c r="AJ196" s="238">
        <f t="shared" si="60"/>
        <v>0</v>
      </c>
      <c r="AK196" s="238"/>
      <c r="AL196" s="358" t="s">
        <v>488</v>
      </c>
      <c r="AM196" s="48">
        <v>78558.260000000038</v>
      </c>
      <c r="AN196" s="238" t="s">
        <v>488</v>
      </c>
      <c r="AO196" s="238">
        <v>85970.67</v>
      </c>
      <c r="AQ196" s="472">
        <f t="shared" si="61"/>
        <v>0</v>
      </c>
      <c r="AS196" t="s">
        <v>488</v>
      </c>
      <c r="AT196" t="s">
        <v>1826</v>
      </c>
      <c r="AU196" s="48">
        <v>64149.61</v>
      </c>
      <c r="AV196" s="48">
        <v>8355.94</v>
      </c>
      <c r="AW196" s="48">
        <v>0</v>
      </c>
      <c r="AX196" s="48">
        <v>0</v>
      </c>
      <c r="AY196" s="48">
        <v>0</v>
      </c>
      <c r="AZ196" s="48">
        <v>5833.75</v>
      </c>
      <c r="BA196" s="48">
        <v>4238.1000000000004</v>
      </c>
      <c r="BB196" s="48">
        <v>1282.69</v>
      </c>
      <c r="BC196" s="48">
        <v>385.43</v>
      </c>
      <c r="BD196" s="48">
        <v>1725.15</v>
      </c>
      <c r="BE196" s="48"/>
      <c r="BF196" s="48">
        <f t="shared" si="56"/>
        <v>85970.67</v>
      </c>
      <c r="BG196" s="48"/>
      <c r="BH196" s="48"/>
      <c r="BI196" s="48" t="str">
        <f t="shared" si="62"/>
        <v>25101</v>
      </c>
      <c r="BJ196" s="48">
        <f t="shared" si="63"/>
        <v>85970.67</v>
      </c>
      <c r="BK196" s="628">
        <f t="shared" si="64"/>
        <v>0</v>
      </c>
    </row>
    <row r="197" spans="1:63">
      <c r="A197" s="196">
        <v>190</v>
      </c>
      <c r="B197" s="73" t="s">
        <v>318</v>
      </c>
      <c r="C197" s="139" t="s">
        <v>319</v>
      </c>
      <c r="D197" s="168">
        <v>0</v>
      </c>
      <c r="E197" s="170">
        <v>44235.790000000008</v>
      </c>
      <c r="F197" s="171">
        <f t="shared" si="77"/>
        <v>44235.790000000008</v>
      </c>
      <c r="G197" s="181">
        <v>43581.75</v>
      </c>
      <c r="H197" s="178">
        <v>654.04000000000815</v>
      </c>
      <c r="I197" s="170">
        <v>63240.97</v>
      </c>
      <c r="J197" s="171">
        <f t="shared" si="78"/>
        <v>63895.010000000009</v>
      </c>
      <c r="K197" s="202">
        <v>24032.839999999997</v>
      </c>
      <c r="L197" s="171">
        <v>39862.170000000013</v>
      </c>
      <c r="M197" s="197">
        <v>58845.07</v>
      </c>
      <c r="N197" s="171">
        <f t="shared" si="72"/>
        <v>98707.24000000002</v>
      </c>
      <c r="O197" s="202">
        <v>51916.229999999996</v>
      </c>
      <c r="P197" s="238">
        <v>46791.010000000024</v>
      </c>
      <c r="Q197" s="197">
        <v>59837.16</v>
      </c>
      <c r="R197" s="171">
        <f t="shared" si="73"/>
        <v>106628.17000000003</v>
      </c>
      <c r="S197" s="202">
        <v>63719.21</v>
      </c>
      <c r="T197" s="238">
        <v>42908.960000000028</v>
      </c>
      <c r="U197" s="238">
        <v>65415.839999999997</v>
      </c>
      <c r="V197" s="171">
        <f t="shared" si="74"/>
        <v>108324.80000000002</v>
      </c>
      <c r="W197" s="56">
        <v>54473.660000000011</v>
      </c>
      <c r="X197" s="568">
        <f t="shared" si="57"/>
        <v>53851.140000000007</v>
      </c>
      <c r="Y197" s="569">
        <v>67210.429999999993</v>
      </c>
      <c r="Z197" s="171">
        <f t="shared" si="75"/>
        <v>121061.57</v>
      </c>
      <c r="AA197" s="48">
        <v>17791.45</v>
      </c>
      <c r="AB197" s="238">
        <f t="shared" si="58"/>
        <v>103270.12000000001</v>
      </c>
      <c r="AC197" s="238">
        <v>66637.850000000006</v>
      </c>
      <c r="AD197" s="171">
        <f t="shared" si="76"/>
        <v>169907.97000000003</v>
      </c>
      <c r="AE197" s="238"/>
      <c r="AF197" s="238">
        <f t="shared" si="59"/>
        <v>0</v>
      </c>
      <c r="AG197" s="196">
        <v>189</v>
      </c>
      <c r="AH197" s="73" t="s">
        <v>318</v>
      </c>
      <c r="AI197" s="139" t="s">
        <v>319</v>
      </c>
      <c r="AJ197" s="238">
        <f t="shared" si="60"/>
        <v>0</v>
      </c>
      <c r="AK197" s="238"/>
      <c r="AL197" s="358" t="s">
        <v>318</v>
      </c>
      <c r="AM197" s="48">
        <v>17791.45</v>
      </c>
      <c r="AN197" s="238" t="s">
        <v>318</v>
      </c>
      <c r="AO197" s="238">
        <v>66637.850000000006</v>
      </c>
      <c r="AQ197" s="472">
        <f t="shared" si="61"/>
        <v>0</v>
      </c>
      <c r="AS197" t="s">
        <v>318</v>
      </c>
      <c r="AT197" t="s">
        <v>1739</v>
      </c>
      <c r="AU197" s="48">
        <v>47314.39</v>
      </c>
      <c r="AV197" s="48">
        <v>2272.44</v>
      </c>
      <c r="AW197" s="48">
        <v>715.34</v>
      </c>
      <c r="AX197" s="48">
        <v>0</v>
      </c>
      <c r="AY197" s="48">
        <v>7703.77</v>
      </c>
      <c r="AZ197" s="48">
        <v>4142.51</v>
      </c>
      <c r="BA197" s="48">
        <v>2610.08</v>
      </c>
      <c r="BB197" s="48">
        <v>1638.81</v>
      </c>
      <c r="BC197" s="48">
        <v>240.51</v>
      </c>
      <c r="BD197" s="48">
        <v>0</v>
      </c>
      <c r="BE197" s="48"/>
      <c r="BF197" s="48">
        <f t="shared" si="56"/>
        <v>66637.850000000006</v>
      </c>
      <c r="BG197" s="48"/>
      <c r="BH197" s="48"/>
      <c r="BI197" s="48" t="str">
        <f t="shared" si="62"/>
        <v>14172</v>
      </c>
      <c r="BJ197" s="48">
        <f t="shared" si="63"/>
        <v>66637.850000000006</v>
      </c>
      <c r="BK197" s="628">
        <f t="shared" si="64"/>
        <v>0</v>
      </c>
    </row>
    <row r="198" spans="1:63">
      <c r="A198" s="196">
        <v>191</v>
      </c>
      <c r="B198" s="73" t="s">
        <v>450</v>
      </c>
      <c r="C198" s="139" t="s">
        <v>451</v>
      </c>
      <c r="D198" s="168">
        <v>1688.840000000002</v>
      </c>
      <c r="E198" s="170">
        <v>21149.14</v>
      </c>
      <c r="F198" s="171">
        <f t="shared" si="77"/>
        <v>22837.980000000003</v>
      </c>
      <c r="G198" s="181">
        <v>18295.09</v>
      </c>
      <c r="H198" s="178">
        <v>4542.8900000000031</v>
      </c>
      <c r="I198" s="170">
        <v>29309.31</v>
      </c>
      <c r="J198" s="171">
        <f t="shared" si="78"/>
        <v>33852.200000000004</v>
      </c>
      <c r="K198" s="202">
        <v>32697.609999999997</v>
      </c>
      <c r="L198" s="171">
        <v>1154.5900000000074</v>
      </c>
      <c r="M198" s="197">
        <v>30066.55</v>
      </c>
      <c r="N198" s="171">
        <f t="shared" si="72"/>
        <v>31221.140000000007</v>
      </c>
      <c r="O198" s="202">
        <v>33252.92</v>
      </c>
      <c r="P198" s="238">
        <v>0</v>
      </c>
      <c r="Q198" s="197">
        <v>31740.54</v>
      </c>
      <c r="R198" s="171">
        <f t="shared" si="73"/>
        <v>31740.54</v>
      </c>
      <c r="S198" s="202">
        <v>31741</v>
      </c>
      <c r="T198" s="238">
        <v>0</v>
      </c>
      <c r="U198" s="238">
        <v>31904.159999999996</v>
      </c>
      <c r="V198" s="171">
        <f t="shared" si="74"/>
        <v>31904.159999999996</v>
      </c>
      <c r="W198" s="56">
        <v>31904.16</v>
      </c>
      <c r="X198" s="568">
        <f t="shared" si="57"/>
        <v>0</v>
      </c>
      <c r="Y198" s="569">
        <v>35026.479999999996</v>
      </c>
      <c r="Z198" s="171">
        <f t="shared" si="75"/>
        <v>35026.479999999996</v>
      </c>
      <c r="AA198" s="48">
        <v>35026.48000000001</v>
      </c>
      <c r="AB198" s="238">
        <f t="shared" si="58"/>
        <v>0</v>
      </c>
      <c r="AC198" s="238">
        <v>34466.5</v>
      </c>
      <c r="AD198" s="171">
        <f t="shared" si="76"/>
        <v>34466.5</v>
      </c>
      <c r="AE198" s="238"/>
      <c r="AF198" s="238">
        <f t="shared" si="59"/>
        <v>0</v>
      </c>
      <c r="AG198" s="196">
        <v>190</v>
      </c>
      <c r="AH198" s="73" t="s">
        <v>450</v>
      </c>
      <c r="AI198" s="139" t="s">
        <v>451</v>
      </c>
      <c r="AJ198" s="238">
        <f t="shared" si="60"/>
        <v>0</v>
      </c>
      <c r="AK198" s="238"/>
      <c r="AL198" s="358" t="s">
        <v>450</v>
      </c>
      <c r="AM198" s="48">
        <v>35026.48000000001</v>
      </c>
      <c r="AN198" s="238" t="s">
        <v>450</v>
      </c>
      <c r="AO198" s="238">
        <v>34466.5</v>
      </c>
      <c r="AQ198" s="472">
        <f t="shared" si="61"/>
        <v>0</v>
      </c>
      <c r="AS198" t="s">
        <v>450</v>
      </c>
      <c r="AT198" t="s">
        <v>1808</v>
      </c>
      <c r="AU198" s="48">
        <v>26546.75</v>
      </c>
      <c r="AV198" s="48">
        <v>654.16999999999996</v>
      </c>
      <c r="AW198" s="48">
        <v>173.17</v>
      </c>
      <c r="AX198" s="48">
        <v>0</v>
      </c>
      <c r="AY198" s="48">
        <v>3827.98</v>
      </c>
      <c r="AZ198" s="48">
        <v>1178.47</v>
      </c>
      <c r="BA198" s="48">
        <v>1016.53</v>
      </c>
      <c r="BB198" s="48">
        <v>0</v>
      </c>
      <c r="BC198" s="48">
        <v>89.78</v>
      </c>
      <c r="BD198" s="48">
        <v>979.65</v>
      </c>
      <c r="BE198" s="48"/>
      <c r="BF198" s="48">
        <f t="shared" si="56"/>
        <v>34466.5</v>
      </c>
      <c r="BG198" s="48"/>
      <c r="BH198" s="48"/>
      <c r="BI198" s="48" t="str">
        <f t="shared" si="62"/>
        <v>22105</v>
      </c>
      <c r="BJ198" s="48">
        <f t="shared" si="63"/>
        <v>34466.5</v>
      </c>
      <c r="BK198" s="628">
        <f t="shared" si="64"/>
        <v>0</v>
      </c>
    </row>
    <row r="199" spans="1:63">
      <c r="A199" s="196">
        <v>192</v>
      </c>
      <c r="B199" s="73" t="s">
        <v>476</v>
      </c>
      <c r="C199" s="139" t="s">
        <v>477</v>
      </c>
      <c r="D199" s="168">
        <v>11855.219999999998</v>
      </c>
      <c r="E199" s="170">
        <v>69273.279999999999</v>
      </c>
      <c r="F199" s="171">
        <f t="shared" si="77"/>
        <v>81128.5</v>
      </c>
      <c r="G199" s="181">
        <v>58897.18</v>
      </c>
      <c r="H199" s="178">
        <v>22231.32</v>
      </c>
      <c r="I199" s="170">
        <v>95192.47</v>
      </c>
      <c r="J199" s="171">
        <f t="shared" si="78"/>
        <v>117423.79000000001</v>
      </c>
      <c r="K199" s="202">
        <v>88410.540000000023</v>
      </c>
      <c r="L199" s="171">
        <v>29013.249999999985</v>
      </c>
      <c r="M199" s="197">
        <v>97380.81</v>
      </c>
      <c r="N199" s="171">
        <f t="shared" si="72"/>
        <v>126394.05999999998</v>
      </c>
      <c r="O199" s="202">
        <v>91819.010000000009</v>
      </c>
      <c r="P199" s="238">
        <v>34575.049999999974</v>
      </c>
      <c r="Q199" s="197">
        <v>108630.98999999999</v>
      </c>
      <c r="R199" s="171">
        <f t="shared" si="73"/>
        <v>143206.03999999998</v>
      </c>
      <c r="S199" s="202">
        <v>149243.99</v>
      </c>
      <c r="T199" s="238">
        <v>0</v>
      </c>
      <c r="U199" s="238">
        <v>110628.03999999998</v>
      </c>
      <c r="V199" s="171">
        <f t="shared" si="74"/>
        <v>110628.03999999998</v>
      </c>
      <c r="W199" s="56">
        <v>89140.840000000011</v>
      </c>
      <c r="X199" s="568">
        <f t="shared" si="57"/>
        <v>21487.199999999968</v>
      </c>
      <c r="Y199" s="569">
        <v>115048.37</v>
      </c>
      <c r="Z199" s="171">
        <f t="shared" si="75"/>
        <v>136535.56999999995</v>
      </c>
      <c r="AA199" s="48">
        <v>121157.26999999997</v>
      </c>
      <c r="AB199" s="238">
        <f t="shared" si="58"/>
        <v>15378.299999999974</v>
      </c>
      <c r="AC199" s="238">
        <v>112968.09000000001</v>
      </c>
      <c r="AD199" s="171">
        <f t="shared" si="76"/>
        <v>128346.38999999998</v>
      </c>
      <c r="AE199" s="238"/>
      <c r="AF199" s="238">
        <f t="shared" si="59"/>
        <v>0</v>
      </c>
      <c r="AG199" s="196">
        <v>191</v>
      </c>
      <c r="AH199" s="73" t="s">
        <v>476</v>
      </c>
      <c r="AI199" s="139" t="s">
        <v>477</v>
      </c>
      <c r="AJ199" s="238">
        <f t="shared" si="60"/>
        <v>0</v>
      </c>
      <c r="AK199" s="238"/>
      <c r="AL199" s="358" t="s">
        <v>476</v>
      </c>
      <c r="AM199" s="48">
        <v>121157.26999999997</v>
      </c>
      <c r="AN199" s="238" t="s">
        <v>476</v>
      </c>
      <c r="AO199" s="238">
        <v>112968.09000000001</v>
      </c>
      <c r="AQ199" s="472">
        <f t="shared" si="61"/>
        <v>0</v>
      </c>
      <c r="AS199" t="s">
        <v>476</v>
      </c>
      <c r="AT199" t="s">
        <v>1820</v>
      </c>
      <c r="AU199" s="48">
        <v>71295.33</v>
      </c>
      <c r="AV199" s="48">
        <v>6411.88</v>
      </c>
      <c r="AW199" s="48">
        <v>2577.6999999999998</v>
      </c>
      <c r="AX199" s="48">
        <v>0</v>
      </c>
      <c r="AY199" s="48">
        <v>16846.98</v>
      </c>
      <c r="AZ199" s="48">
        <v>6413.42</v>
      </c>
      <c r="BA199" s="48">
        <v>4839.3500000000004</v>
      </c>
      <c r="BB199" s="48">
        <v>2272.44</v>
      </c>
      <c r="BC199" s="48">
        <v>457.88</v>
      </c>
      <c r="BD199" s="48">
        <v>1853.11</v>
      </c>
      <c r="BE199" s="48"/>
      <c r="BF199" s="48">
        <f t="shared" ref="BF199:BF262" si="79">SUM(AU199:BE199)</f>
        <v>112968.09000000001</v>
      </c>
      <c r="BG199" s="48"/>
      <c r="BH199" s="48"/>
      <c r="BI199" s="48" t="str">
        <f t="shared" si="62"/>
        <v>24105</v>
      </c>
      <c r="BJ199" s="48">
        <f t="shared" si="63"/>
        <v>112968.09000000001</v>
      </c>
      <c r="BK199" s="628">
        <f t="shared" si="64"/>
        <v>0</v>
      </c>
    </row>
    <row r="200" spans="1:63">
      <c r="A200" s="196">
        <v>193</v>
      </c>
      <c r="B200" s="73" t="s">
        <v>646</v>
      </c>
      <c r="C200" s="139" t="s">
        <v>647</v>
      </c>
      <c r="D200" s="168">
        <v>0</v>
      </c>
      <c r="E200" s="170">
        <v>596729.18000000005</v>
      </c>
      <c r="F200" s="171">
        <f t="shared" si="77"/>
        <v>596729.18000000005</v>
      </c>
      <c r="G200" s="181">
        <v>615969.51</v>
      </c>
      <c r="H200" s="178">
        <v>0</v>
      </c>
      <c r="I200" s="170">
        <v>835054.05999999994</v>
      </c>
      <c r="J200" s="171">
        <f t="shared" si="78"/>
        <v>835054.05999999994</v>
      </c>
      <c r="K200" s="202">
        <v>777662.35000000009</v>
      </c>
      <c r="L200" s="171">
        <v>57391.709999999846</v>
      </c>
      <c r="M200" s="197">
        <v>818725.57000000007</v>
      </c>
      <c r="N200" s="171">
        <f t="shared" si="72"/>
        <v>876117.27999999991</v>
      </c>
      <c r="O200" s="202">
        <v>909752.40000000014</v>
      </c>
      <c r="P200" s="238">
        <v>0</v>
      </c>
      <c r="Q200" s="197">
        <v>900402.75</v>
      </c>
      <c r="R200" s="171">
        <f t="shared" si="73"/>
        <v>900402.75</v>
      </c>
      <c r="S200" s="202">
        <v>985901.33000000007</v>
      </c>
      <c r="T200" s="238">
        <v>0</v>
      </c>
      <c r="U200" s="238">
        <v>925744.44</v>
      </c>
      <c r="V200" s="171">
        <f t="shared" si="74"/>
        <v>925744.44</v>
      </c>
      <c r="W200" s="56">
        <v>967937.90000000084</v>
      </c>
      <c r="X200" s="568">
        <f t="shared" ref="X200:X263" si="80">IF(+V200-W200&lt;0,0,(+V200-W200))</f>
        <v>0</v>
      </c>
      <c r="Y200" s="569">
        <v>984741.94000000006</v>
      </c>
      <c r="Z200" s="171">
        <f t="shared" si="75"/>
        <v>984741.94000000006</v>
      </c>
      <c r="AA200" s="48">
        <v>1027589.6900000003</v>
      </c>
      <c r="AB200" s="238">
        <f t="shared" ref="AB200:AB263" si="81">IF(+Z200-AA200&lt;0,0,(+Z200-AA200))</f>
        <v>0</v>
      </c>
      <c r="AC200" s="238">
        <v>971366.16</v>
      </c>
      <c r="AD200" s="171">
        <f t="shared" si="76"/>
        <v>971366.16</v>
      </c>
      <c r="AE200" s="238"/>
      <c r="AF200" s="238">
        <f t="shared" ref="AF200:AF263" si="82">+AH200-B200</f>
        <v>0</v>
      </c>
      <c r="AG200" s="196">
        <v>192</v>
      </c>
      <c r="AH200" s="73" t="s">
        <v>646</v>
      </c>
      <c r="AI200" s="139" t="s">
        <v>647</v>
      </c>
      <c r="AJ200" s="238">
        <f t="shared" ref="AJ200:AJ263" si="83">+AL200-B200</f>
        <v>0</v>
      </c>
      <c r="AK200" s="238"/>
      <c r="AL200" s="358" t="s">
        <v>646</v>
      </c>
      <c r="AM200" s="48">
        <v>1027589.6900000003</v>
      </c>
      <c r="AN200" s="238" t="s">
        <v>646</v>
      </c>
      <c r="AO200" s="238">
        <v>971366.16</v>
      </c>
      <c r="AQ200" s="472">
        <f t="shared" ref="AQ200:AQ263" si="84">+AS200-B200</f>
        <v>0</v>
      </c>
      <c r="AS200" t="s">
        <v>646</v>
      </c>
      <c r="AT200" t="s">
        <v>1907</v>
      </c>
      <c r="AU200" s="48">
        <v>706537.54</v>
      </c>
      <c r="AV200" s="48">
        <v>50884.07</v>
      </c>
      <c r="AW200" s="48">
        <v>10025.780000000001</v>
      </c>
      <c r="AX200" s="48">
        <v>0</v>
      </c>
      <c r="AY200" s="48">
        <v>150546.29</v>
      </c>
      <c r="AZ200" s="48">
        <v>32257.9</v>
      </c>
      <c r="BA200" s="48">
        <v>2897.26</v>
      </c>
      <c r="BB200" s="48">
        <v>10062.65</v>
      </c>
      <c r="BC200" s="48">
        <v>4316.2299999999996</v>
      </c>
      <c r="BD200" s="48">
        <v>3838.44</v>
      </c>
      <c r="BE200" s="48"/>
      <c r="BF200" s="48">
        <f t="shared" si="79"/>
        <v>971366.16</v>
      </c>
      <c r="BG200" s="48"/>
      <c r="BH200" s="48"/>
      <c r="BI200" s="48" t="str">
        <f t="shared" ref="BI200:BI263" si="85">TEXT(AS200, "00000")</f>
        <v>34111</v>
      </c>
      <c r="BJ200" s="48">
        <f t="shared" ref="BJ200:BJ263" si="86">BF200</f>
        <v>971366.16</v>
      </c>
      <c r="BK200" s="628">
        <f t="shared" ref="BK200:BK263" si="87">+BI200-B200</f>
        <v>0</v>
      </c>
    </row>
    <row r="201" spans="1:63">
      <c r="A201" s="196">
        <v>194</v>
      </c>
      <c r="B201" s="73" t="s">
        <v>474</v>
      </c>
      <c r="C201" s="139" t="s">
        <v>475</v>
      </c>
      <c r="D201" s="168">
        <v>31779.590000000004</v>
      </c>
      <c r="E201" s="170">
        <v>147326.41</v>
      </c>
      <c r="F201" s="171">
        <f t="shared" si="77"/>
        <v>179106</v>
      </c>
      <c r="G201" s="181">
        <v>141958.60999999999</v>
      </c>
      <c r="H201" s="178">
        <v>37147.390000000014</v>
      </c>
      <c r="I201" s="170">
        <v>243196.44</v>
      </c>
      <c r="J201" s="171">
        <f t="shared" si="78"/>
        <v>280343.83</v>
      </c>
      <c r="K201" s="202">
        <v>110819.82</v>
      </c>
      <c r="L201" s="171">
        <v>169524.01</v>
      </c>
      <c r="M201" s="197">
        <v>237573.68</v>
      </c>
      <c r="N201" s="171">
        <f t="shared" si="72"/>
        <v>407097.69</v>
      </c>
      <c r="O201" s="202">
        <v>488435.66</v>
      </c>
      <c r="P201" s="238">
        <v>0</v>
      </c>
      <c r="Q201" s="197">
        <v>262723.32999999996</v>
      </c>
      <c r="R201" s="171">
        <f t="shared" si="73"/>
        <v>262723.32999999996</v>
      </c>
      <c r="S201" s="202">
        <v>555453.1</v>
      </c>
      <c r="T201" s="238">
        <v>0</v>
      </c>
      <c r="U201" s="238">
        <v>254717.37</v>
      </c>
      <c r="V201" s="171">
        <f t="shared" si="74"/>
        <v>254717.37</v>
      </c>
      <c r="W201" s="56">
        <v>519146.09999999992</v>
      </c>
      <c r="X201" s="568">
        <f t="shared" si="80"/>
        <v>0</v>
      </c>
      <c r="Y201" s="569">
        <v>278382.30000000005</v>
      </c>
      <c r="Z201" s="171">
        <f t="shared" si="75"/>
        <v>278382.30000000005</v>
      </c>
      <c r="AA201" s="48">
        <v>576117.04</v>
      </c>
      <c r="AB201" s="238">
        <f t="shared" si="81"/>
        <v>0</v>
      </c>
      <c r="AC201" s="238">
        <v>297767.88999999996</v>
      </c>
      <c r="AD201" s="171">
        <f t="shared" si="76"/>
        <v>297767.88999999996</v>
      </c>
      <c r="AE201" s="238"/>
      <c r="AF201" s="238">
        <f t="shared" si="82"/>
        <v>0</v>
      </c>
      <c r="AG201" s="196">
        <v>193</v>
      </c>
      <c r="AH201" s="73" t="s">
        <v>474</v>
      </c>
      <c r="AI201" s="139" t="s">
        <v>475</v>
      </c>
      <c r="AJ201" s="238">
        <f t="shared" si="83"/>
        <v>0</v>
      </c>
      <c r="AK201" s="238"/>
      <c r="AL201" s="358" t="s">
        <v>474</v>
      </c>
      <c r="AM201" s="48">
        <v>576117.04</v>
      </c>
      <c r="AN201" s="238" t="s">
        <v>474</v>
      </c>
      <c r="AO201" s="238">
        <v>297767.88999999996</v>
      </c>
      <c r="AQ201" s="472">
        <f t="shared" si="84"/>
        <v>0</v>
      </c>
      <c r="AS201" t="s">
        <v>474</v>
      </c>
      <c r="AT201" t="s">
        <v>1819</v>
      </c>
      <c r="AU201" s="48">
        <v>101097.69</v>
      </c>
      <c r="AV201" s="48">
        <v>10850.4</v>
      </c>
      <c r="AW201" s="48">
        <v>3598.3</v>
      </c>
      <c r="AX201" s="48">
        <v>0</v>
      </c>
      <c r="AY201" s="48">
        <v>100838.9</v>
      </c>
      <c r="AZ201" s="48">
        <v>41590.1</v>
      </c>
      <c r="BA201" s="48">
        <v>27016.53</v>
      </c>
      <c r="BB201" s="48">
        <v>10062.6</v>
      </c>
      <c r="BC201" s="48">
        <v>2713.37</v>
      </c>
      <c r="BD201" s="48">
        <v>0</v>
      </c>
      <c r="BE201" s="48"/>
      <c r="BF201" s="48">
        <f t="shared" si="79"/>
        <v>297767.88999999996</v>
      </c>
      <c r="BG201" s="48"/>
      <c r="BH201" s="48"/>
      <c r="BI201" s="48" t="str">
        <f t="shared" si="85"/>
        <v>24019</v>
      </c>
      <c r="BJ201" s="48">
        <f t="shared" si="86"/>
        <v>297767.88999999996</v>
      </c>
      <c r="BK201" s="628">
        <f t="shared" si="87"/>
        <v>0</v>
      </c>
    </row>
    <row r="202" spans="1:63">
      <c r="A202" s="196">
        <v>195</v>
      </c>
      <c r="B202" s="73" t="s">
        <v>432</v>
      </c>
      <c r="C202" s="139" t="s">
        <v>433</v>
      </c>
      <c r="D202" s="168">
        <v>296.85000000000218</v>
      </c>
      <c r="E202" s="170">
        <v>53398.579999999994</v>
      </c>
      <c r="F202" s="171">
        <f t="shared" si="77"/>
        <v>53695.429999999993</v>
      </c>
      <c r="G202" s="181">
        <v>40232.959999999999</v>
      </c>
      <c r="H202" s="178">
        <v>13462.469999999994</v>
      </c>
      <c r="I202" s="170">
        <v>77796.63</v>
      </c>
      <c r="J202" s="171">
        <f t="shared" si="78"/>
        <v>91259.1</v>
      </c>
      <c r="K202" s="202">
        <v>86411.42</v>
      </c>
      <c r="L202" s="171">
        <v>4847.6800000000076</v>
      </c>
      <c r="M202" s="197">
        <v>74077.399999999994</v>
      </c>
      <c r="N202" s="171">
        <f t="shared" si="72"/>
        <v>78925.08</v>
      </c>
      <c r="O202" s="202">
        <v>85955.72</v>
      </c>
      <c r="P202" s="238">
        <v>0</v>
      </c>
      <c r="Q202" s="197">
        <v>87047.62</v>
      </c>
      <c r="R202" s="171">
        <f t="shared" si="73"/>
        <v>87047.62</v>
      </c>
      <c r="S202" s="202">
        <v>98889.260000000009</v>
      </c>
      <c r="T202" s="238">
        <v>0</v>
      </c>
      <c r="U202" s="238">
        <v>90708.74</v>
      </c>
      <c r="V202" s="171">
        <f t="shared" si="74"/>
        <v>90708.74</v>
      </c>
      <c r="W202" s="56">
        <v>101920.97</v>
      </c>
      <c r="X202" s="568">
        <f t="shared" si="80"/>
        <v>0</v>
      </c>
      <c r="Y202" s="569">
        <v>97355.700000000012</v>
      </c>
      <c r="Z202" s="171">
        <f t="shared" si="75"/>
        <v>97355.700000000012</v>
      </c>
      <c r="AA202" s="48">
        <v>91401.690000000017</v>
      </c>
      <c r="AB202" s="238">
        <f t="shared" si="81"/>
        <v>5954.0099999999948</v>
      </c>
      <c r="AC202" s="238">
        <v>93489.550000000017</v>
      </c>
      <c r="AD202" s="171">
        <f t="shared" si="76"/>
        <v>99443.560000000012</v>
      </c>
      <c r="AE202" s="238"/>
      <c r="AF202" s="238">
        <f t="shared" si="82"/>
        <v>0</v>
      </c>
      <c r="AG202" s="196">
        <v>194</v>
      </c>
      <c r="AH202" s="73" t="s">
        <v>432</v>
      </c>
      <c r="AI202" s="139" t="s">
        <v>433</v>
      </c>
      <c r="AJ202" s="238">
        <f t="shared" si="83"/>
        <v>0</v>
      </c>
      <c r="AK202" s="238"/>
      <c r="AL202" s="358" t="s">
        <v>432</v>
      </c>
      <c r="AM202" s="48">
        <v>91401.690000000017</v>
      </c>
      <c r="AN202" s="238" t="s">
        <v>432</v>
      </c>
      <c r="AO202" s="238">
        <v>93489.550000000017</v>
      </c>
      <c r="AQ202" s="472">
        <f t="shared" si="84"/>
        <v>0</v>
      </c>
      <c r="AS202" t="s">
        <v>432</v>
      </c>
      <c r="AT202" t="s">
        <v>1799</v>
      </c>
      <c r="AU202" s="48">
        <v>57412.43</v>
      </c>
      <c r="AV202" s="48">
        <v>9649.42</v>
      </c>
      <c r="AW202" s="48">
        <v>1008.27</v>
      </c>
      <c r="AX202" s="48">
        <v>0</v>
      </c>
      <c r="AY202" s="48">
        <v>14357.8</v>
      </c>
      <c r="AZ202" s="48">
        <v>4834.74</v>
      </c>
      <c r="BA202" s="48">
        <v>3948.27</v>
      </c>
      <c r="BB202" s="48">
        <v>0</v>
      </c>
      <c r="BC202" s="48">
        <v>346.89</v>
      </c>
      <c r="BD202" s="48">
        <v>1931.73</v>
      </c>
      <c r="BE202" s="48"/>
      <c r="BF202" s="48">
        <f t="shared" si="79"/>
        <v>93489.550000000017</v>
      </c>
      <c r="BG202" s="48"/>
      <c r="BH202" s="48"/>
      <c r="BI202" s="48" t="str">
        <f t="shared" si="85"/>
        <v>21300</v>
      </c>
      <c r="BJ202" s="48">
        <f t="shared" si="86"/>
        <v>93489.550000000017</v>
      </c>
      <c r="BK202" s="628">
        <f t="shared" si="87"/>
        <v>0</v>
      </c>
    </row>
    <row r="203" spans="1:63">
      <c r="A203" s="196">
        <v>196</v>
      </c>
      <c r="B203" s="173" t="s">
        <v>618</v>
      </c>
      <c r="C203" s="139" t="s">
        <v>619</v>
      </c>
      <c r="D203" s="168">
        <v>0</v>
      </c>
      <c r="E203" s="170">
        <v>3933.9300000000003</v>
      </c>
      <c r="F203" s="171">
        <f t="shared" si="77"/>
        <v>3933.9300000000003</v>
      </c>
      <c r="G203" s="181">
        <v>6142.12</v>
      </c>
      <c r="H203" s="178">
        <v>0</v>
      </c>
      <c r="I203" s="170">
        <v>6054.5700000000006</v>
      </c>
      <c r="J203" s="171">
        <f t="shared" si="78"/>
        <v>6054.5700000000006</v>
      </c>
      <c r="K203" s="202"/>
      <c r="L203" s="171">
        <v>6054.5700000000006</v>
      </c>
      <c r="M203" s="197">
        <v>6188.5</v>
      </c>
      <c r="N203" s="171">
        <f t="shared" si="72"/>
        <v>12243.07</v>
      </c>
      <c r="O203" s="202">
        <v>1091.5</v>
      </c>
      <c r="P203" s="238">
        <v>11151.57</v>
      </c>
      <c r="Q203" s="197">
        <v>6791.74</v>
      </c>
      <c r="R203" s="171">
        <f t="shared" si="73"/>
        <v>17943.309999999998</v>
      </c>
      <c r="S203" s="202">
        <v>2387.2800000000002</v>
      </c>
      <c r="T203" s="238">
        <v>15556.029999999997</v>
      </c>
      <c r="U203" s="238">
        <v>6622.48</v>
      </c>
      <c r="V203" s="171">
        <f t="shared" si="74"/>
        <v>22178.509999999995</v>
      </c>
      <c r="W203" s="56">
        <v>6800.2000000000016</v>
      </c>
      <c r="X203" s="568">
        <f t="shared" si="80"/>
        <v>15378.309999999994</v>
      </c>
      <c r="Y203" s="569">
        <v>6783</v>
      </c>
      <c r="Z203" s="171">
        <f t="shared" si="75"/>
        <v>22161.309999999994</v>
      </c>
      <c r="AA203" s="48">
        <v>6382.74</v>
      </c>
      <c r="AB203" s="238">
        <f t="shared" si="81"/>
        <v>15778.569999999994</v>
      </c>
      <c r="AC203" s="238">
        <v>7641.49</v>
      </c>
      <c r="AD203" s="171">
        <f t="shared" si="76"/>
        <v>23420.059999999994</v>
      </c>
      <c r="AE203" s="238"/>
      <c r="AF203" s="238">
        <f t="shared" si="82"/>
        <v>0</v>
      </c>
      <c r="AG203" s="196">
        <v>195</v>
      </c>
      <c r="AH203" s="173" t="s">
        <v>618</v>
      </c>
      <c r="AI203" s="139" t="s">
        <v>619</v>
      </c>
      <c r="AJ203" s="238">
        <f t="shared" si="83"/>
        <v>0</v>
      </c>
      <c r="AK203" s="238"/>
      <c r="AL203" s="358" t="s">
        <v>618</v>
      </c>
      <c r="AM203" s="48">
        <v>6382.74</v>
      </c>
      <c r="AN203" s="238" t="s">
        <v>618</v>
      </c>
      <c r="AO203" s="238">
        <v>7641.49</v>
      </c>
      <c r="AQ203" s="472">
        <f t="shared" si="84"/>
        <v>0</v>
      </c>
      <c r="AS203" t="s">
        <v>618</v>
      </c>
      <c r="AT203" t="s">
        <v>1892</v>
      </c>
      <c r="AU203" s="48">
        <v>5679.58</v>
      </c>
      <c r="AV203" s="48">
        <v>0</v>
      </c>
      <c r="AW203" s="48">
        <v>0</v>
      </c>
      <c r="AX203" s="48">
        <v>0</v>
      </c>
      <c r="AY203" s="48">
        <v>1487.08</v>
      </c>
      <c r="AZ203" s="48">
        <v>288.29000000000002</v>
      </c>
      <c r="BA203" s="48">
        <v>186.54</v>
      </c>
      <c r="BB203" s="48">
        <v>0</v>
      </c>
      <c r="BC203" s="48">
        <v>0</v>
      </c>
      <c r="BD203" s="48">
        <v>0</v>
      </c>
      <c r="BE203" s="48"/>
      <c r="BF203" s="48">
        <f t="shared" si="79"/>
        <v>7641.49</v>
      </c>
      <c r="BG203" s="48"/>
      <c r="BH203" s="48"/>
      <c r="BI203" s="48" t="str">
        <f t="shared" si="85"/>
        <v>33030</v>
      </c>
      <c r="BJ203" s="48">
        <f t="shared" si="86"/>
        <v>7641.49</v>
      </c>
      <c r="BK203" s="628">
        <f t="shared" si="87"/>
        <v>0</v>
      </c>
    </row>
    <row r="204" spans="1:63">
      <c r="A204" s="196">
        <v>197</v>
      </c>
      <c r="B204" s="73" t="s">
        <v>537</v>
      </c>
      <c r="C204" s="139" t="s">
        <v>538</v>
      </c>
      <c r="D204" s="168">
        <v>17786.32</v>
      </c>
      <c r="E204" s="170">
        <v>36205.879999999997</v>
      </c>
      <c r="F204" s="171">
        <f t="shared" si="77"/>
        <v>53992.2</v>
      </c>
      <c r="G204" s="181"/>
      <c r="H204" s="178">
        <v>53992.2</v>
      </c>
      <c r="I204" s="170">
        <v>79316.549999999988</v>
      </c>
      <c r="J204" s="171">
        <f t="shared" si="78"/>
        <v>133308.75</v>
      </c>
      <c r="K204" s="202"/>
      <c r="L204" s="171">
        <v>133308.75</v>
      </c>
      <c r="M204" s="197">
        <v>50647.380000000005</v>
      </c>
      <c r="N204" s="171">
        <f t="shared" si="72"/>
        <v>183956.13</v>
      </c>
      <c r="O204" s="202"/>
      <c r="P204" s="238">
        <v>183956.13</v>
      </c>
      <c r="Q204" s="197">
        <v>55337.67</v>
      </c>
      <c r="R204" s="171">
        <f t="shared" si="73"/>
        <v>239293.8</v>
      </c>
      <c r="S204" s="202">
        <v>74800.149999999994</v>
      </c>
      <c r="T204" s="238">
        <v>164493.65</v>
      </c>
      <c r="U204" s="238">
        <v>59256.82</v>
      </c>
      <c r="V204" s="171">
        <f t="shared" si="74"/>
        <v>223750.47</v>
      </c>
      <c r="W204" s="56">
        <v>93536.35</v>
      </c>
      <c r="X204" s="568">
        <f t="shared" si="80"/>
        <v>130214.12</v>
      </c>
      <c r="Y204" s="569">
        <v>64214.799999999996</v>
      </c>
      <c r="Z204" s="171">
        <f t="shared" si="75"/>
        <v>194428.91999999998</v>
      </c>
      <c r="AA204" s="48">
        <v>154780.08000000002</v>
      </c>
      <c r="AB204" s="238">
        <f t="shared" si="81"/>
        <v>39648.839999999967</v>
      </c>
      <c r="AC204" s="238">
        <v>65983.320000000007</v>
      </c>
      <c r="AD204" s="171">
        <f t="shared" si="76"/>
        <v>105632.15999999997</v>
      </c>
      <c r="AE204" s="238"/>
      <c r="AF204" s="238">
        <f t="shared" si="82"/>
        <v>0</v>
      </c>
      <c r="AG204" s="196">
        <v>196</v>
      </c>
      <c r="AH204" s="73" t="s">
        <v>537</v>
      </c>
      <c r="AI204" s="139" t="s">
        <v>538</v>
      </c>
      <c r="AJ204" s="238">
        <f t="shared" si="83"/>
        <v>0</v>
      </c>
      <c r="AK204" s="238"/>
      <c r="AL204" s="358" t="s">
        <v>537</v>
      </c>
      <c r="AM204" s="48">
        <v>154780.08000000002</v>
      </c>
      <c r="AN204" s="238" t="s">
        <v>537</v>
      </c>
      <c r="AO204" s="238">
        <v>65983.320000000007</v>
      </c>
      <c r="AQ204" s="472">
        <f t="shared" si="84"/>
        <v>0</v>
      </c>
      <c r="AS204" t="s">
        <v>537</v>
      </c>
      <c r="AT204" t="s">
        <v>1851</v>
      </c>
      <c r="AU204" s="48">
        <v>46798.47</v>
      </c>
      <c r="AV204" s="48">
        <v>1030.8399999999999</v>
      </c>
      <c r="AW204" s="48">
        <v>0</v>
      </c>
      <c r="AX204" s="48">
        <v>0</v>
      </c>
      <c r="AY204" s="48">
        <v>13747.49</v>
      </c>
      <c r="AZ204" s="48">
        <v>2576.2199999999998</v>
      </c>
      <c r="BA204" s="48">
        <v>0</v>
      </c>
      <c r="BB204" s="48">
        <v>1440.06</v>
      </c>
      <c r="BC204" s="48">
        <v>390.24</v>
      </c>
      <c r="BD204" s="48">
        <v>0</v>
      </c>
      <c r="BE204" s="48"/>
      <c r="BF204" s="48">
        <f t="shared" si="79"/>
        <v>65983.320000000007</v>
      </c>
      <c r="BG204" s="48"/>
      <c r="BH204" s="48"/>
      <c r="BI204" s="48" t="str">
        <f t="shared" si="85"/>
        <v>28137</v>
      </c>
      <c r="BJ204" s="48">
        <f t="shared" si="86"/>
        <v>65983.320000000007</v>
      </c>
      <c r="BK204" s="628">
        <f t="shared" si="87"/>
        <v>0</v>
      </c>
    </row>
    <row r="205" spans="1:63">
      <c r="A205" s="196">
        <v>198</v>
      </c>
      <c r="B205" s="73" t="s">
        <v>594</v>
      </c>
      <c r="C205" s="139" t="s">
        <v>595</v>
      </c>
      <c r="D205" s="168">
        <v>2491.71</v>
      </c>
      <c r="E205" s="170">
        <v>5066.26</v>
      </c>
      <c r="F205" s="171">
        <f t="shared" si="77"/>
        <v>7557.97</v>
      </c>
      <c r="G205" s="181">
        <v>1462.5</v>
      </c>
      <c r="H205" s="178">
        <v>6095.47</v>
      </c>
      <c r="I205" s="170">
        <v>7867.56</v>
      </c>
      <c r="J205" s="171">
        <f t="shared" si="78"/>
        <v>13963.03</v>
      </c>
      <c r="K205" s="202">
        <v>1786.62</v>
      </c>
      <c r="L205" s="171">
        <v>12176.41</v>
      </c>
      <c r="M205" s="197">
        <v>6608.32</v>
      </c>
      <c r="N205" s="171">
        <f t="shared" si="72"/>
        <v>18784.73</v>
      </c>
      <c r="O205" s="202">
        <v>1172.97</v>
      </c>
      <c r="P205" s="238">
        <v>17611.759999999998</v>
      </c>
      <c r="Q205" s="197">
        <v>9056.869999999999</v>
      </c>
      <c r="R205" s="171">
        <f t="shared" si="73"/>
        <v>26668.629999999997</v>
      </c>
      <c r="S205" s="202">
        <v>712.5</v>
      </c>
      <c r="T205" s="238">
        <v>25956.129999999997</v>
      </c>
      <c r="U205" s="238">
        <v>9385.6299999999992</v>
      </c>
      <c r="V205" s="171">
        <f t="shared" si="74"/>
        <v>35341.759999999995</v>
      </c>
      <c r="W205" s="56">
        <v>5677.54</v>
      </c>
      <c r="X205" s="568">
        <f t="shared" si="80"/>
        <v>29664.219999999994</v>
      </c>
      <c r="Y205" s="569">
        <v>9986.4700000000012</v>
      </c>
      <c r="Z205" s="171">
        <f t="shared" si="75"/>
        <v>39650.689999999995</v>
      </c>
      <c r="AA205" s="48">
        <v>7650.9500000000007</v>
      </c>
      <c r="AB205" s="238">
        <f t="shared" si="81"/>
        <v>31999.739999999994</v>
      </c>
      <c r="AC205" s="238">
        <v>10809.39</v>
      </c>
      <c r="AD205" s="171">
        <f t="shared" si="76"/>
        <v>42809.12999999999</v>
      </c>
      <c r="AE205" s="238"/>
      <c r="AF205" s="238">
        <f t="shared" si="82"/>
        <v>0</v>
      </c>
      <c r="AG205" s="196">
        <v>197</v>
      </c>
      <c r="AH205" s="73" t="s">
        <v>594</v>
      </c>
      <c r="AI205" s="139" t="s">
        <v>595</v>
      </c>
      <c r="AJ205" s="238">
        <f t="shared" si="83"/>
        <v>0</v>
      </c>
      <c r="AK205" s="238"/>
      <c r="AL205" s="358" t="s">
        <v>594</v>
      </c>
      <c r="AM205" s="48">
        <v>7650.9500000000007</v>
      </c>
      <c r="AN205" s="238" t="s">
        <v>594</v>
      </c>
      <c r="AO205" s="238">
        <v>10809.39</v>
      </c>
      <c r="AQ205" s="472">
        <f t="shared" si="84"/>
        <v>0</v>
      </c>
      <c r="AS205" t="s">
        <v>594</v>
      </c>
      <c r="AT205" t="s">
        <v>1879</v>
      </c>
      <c r="AU205" s="48">
        <v>9933.09</v>
      </c>
      <c r="AV205" s="48">
        <v>0</v>
      </c>
      <c r="AW205" s="48">
        <v>0</v>
      </c>
      <c r="AX205" s="48">
        <v>0</v>
      </c>
      <c r="AY205" s="48">
        <v>876.3</v>
      </c>
      <c r="AZ205" s="48">
        <v>0</v>
      </c>
      <c r="BA205" s="48">
        <v>0</v>
      </c>
      <c r="BB205" s="48">
        <v>0</v>
      </c>
      <c r="BC205" s="48">
        <v>0</v>
      </c>
      <c r="BD205" s="48">
        <v>0</v>
      </c>
      <c r="BE205" s="48"/>
      <c r="BF205" s="48">
        <f t="shared" si="79"/>
        <v>10809.39</v>
      </c>
      <c r="BG205" s="48"/>
      <c r="BH205" s="48"/>
      <c r="BI205" s="48" t="str">
        <f t="shared" si="85"/>
        <v>32123</v>
      </c>
      <c r="BJ205" s="48">
        <f t="shared" si="86"/>
        <v>10809.39</v>
      </c>
      <c r="BK205" s="628">
        <f t="shared" si="87"/>
        <v>0</v>
      </c>
    </row>
    <row r="206" spans="1:63">
      <c r="A206" s="196">
        <v>199</v>
      </c>
      <c r="B206" s="73" t="s">
        <v>261</v>
      </c>
      <c r="C206" s="139" t="s">
        <v>262</v>
      </c>
      <c r="D206" s="168">
        <v>0</v>
      </c>
      <c r="E206" s="170">
        <v>4206.04</v>
      </c>
      <c r="F206" s="171">
        <f t="shared" si="77"/>
        <v>4206.04</v>
      </c>
      <c r="G206" s="181">
        <v>4289.04</v>
      </c>
      <c r="H206" s="178">
        <v>0</v>
      </c>
      <c r="I206" s="170">
        <v>6209.04</v>
      </c>
      <c r="J206" s="171">
        <f t="shared" si="78"/>
        <v>6209.04</v>
      </c>
      <c r="K206" s="202">
        <v>17157.7</v>
      </c>
      <c r="L206" s="171">
        <v>0</v>
      </c>
      <c r="M206" s="197">
        <v>6131.15</v>
      </c>
      <c r="N206" s="171">
        <f t="shared" si="72"/>
        <v>6131.15</v>
      </c>
      <c r="O206" s="202">
        <v>6608.7800000000007</v>
      </c>
      <c r="P206" s="238">
        <v>0</v>
      </c>
      <c r="Q206" s="197">
        <v>6614.01</v>
      </c>
      <c r="R206" s="171">
        <f t="shared" si="73"/>
        <v>6614.01</v>
      </c>
      <c r="S206" s="202">
        <v>8846.94</v>
      </c>
      <c r="T206" s="238">
        <v>0</v>
      </c>
      <c r="U206" s="238">
        <v>6550.14</v>
      </c>
      <c r="V206" s="171">
        <f t="shared" si="74"/>
        <v>6550.14</v>
      </c>
      <c r="W206" s="56">
        <v>2129.8199999999997</v>
      </c>
      <c r="X206" s="568">
        <f t="shared" si="80"/>
        <v>4420.3200000000006</v>
      </c>
      <c r="Y206" s="569">
        <v>6831.3799999999992</v>
      </c>
      <c r="Z206" s="171">
        <f t="shared" si="75"/>
        <v>11251.7</v>
      </c>
      <c r="AA206" s="48"/>
      <c r="AB206" s="238">
        <f t="shared" si="81"/>
        <v>11251.7</v>
      </c>
      <c r="AC206" s="238">
        <v>7264.54</v>
      </c>
      <c r="AD206" s="171">
        <f t="shared" si="76"/>
        <v>18516.240000000002</v>
      </c>
      <c r="AE206" s="238"/>
      <c r="AF206" s="238">
        <f t="shared" si="82"/>
        <v>0</v>
      </c>
      <c r="AG206" s="196">
        <v>198</v>
      </c>
      <c r="AH206" s="73" t="s">
        <v>261</v>
      </c>
      <c r="AI206" s="139" t="s">
        <v>262</v>
      </c>
      <c r="AJ206" s="238">
        <f t="shared" si="83"/>
        <v>0</v>
      </c>
      <c r="AK206" s="238"/>
      <c r="AL206" s="73" t="s">
        <v>261</v>
      </c>
      <c r="AM206" s="48"/>
      <c r="AN206" s="238" t="s">
        <v>261</v>
      </c>
      <c r="AO206" s="238">
        <v>7264.54</v>
      </c>
      <c r="AQ206" s="472">
        <f t="shared" si="84"/>
        <v>0</v>
      </c>
      <c r="AS206" t="s">
        <v>261</v>
      </c>
      <c r="AT206" t="s">
        <v>2674</v>
      </c>
      <c r="AU206" s="48">
        <v>5674.95</v>
      </c>
      <c r="AV206" s="48">
        <v>0</v>
      </c>
      <c r="AW206" s="48">
        <v>0</v>
      </c>
      <c r="AX206" s="48">
        <v>0</v>
      </c>
      <c r="AY206" s="48">
        <v>1070.05</v>
      </c>
      <c r="AZ206" s="48">
        <v>305.25</v>
      </c>
      <c r="BA206" s="48">
        <v>194.25</v>
      </c>
      <c r="BB206" s="48">
        <v>0</v>
      </c>
      <c r="BC206" s="48">
        <v>20.04</v>
      </c>
      <c r="BD206" s="48">
        <v>0</v>
      </c>
      <c r="BE206" s="48"/>
      <c r="BF206" s="48">
        <f t="shared" si="79"/>
        <v>7264.54</v>
      </c>
      <c r="BG206" s="48"/>
      <c r="BH206" s="48"/>
      <c r="BI206" s="48" t="str">
        <f t="shared" si="85"/>
        <v>10065</v>
      </c>
      <c r="BJ206" s="48">
        <f t="shared" si="86"/>
        <v>7264.54</v>
      </c>
      <c r="BK206" s="628">
        <f t="shared" si="87"/>
        <v>0</v>
      </c>
    </row>
    <row r="207" spans="1:63">
      <c r="A207" s="196">
        <v>200</v>
      </c>
      <c r="B207" s="73" t="s">
        <v>245</v>
      </c>
      <c r="C207" s="139" t="s">
        <v>246</v>
      </c>
      <c r="D207" s="168">
        <v>286.73999999999978</v>
      </c>
      <c r="E207" s="170">
        <v>11843.77</v>
      </c>
      <c r="F207" s="171">
        <f t="shared" si="77"/>
        <v>12130.51</v>
      </c>
      <c r="G207" s="181">
        <v>10022.77</v>
      </c>
      <c r="H207" s="178">
        <v>2107.7399999999998</v>
      </c>
      <c r="I207" s="170">
        <v>16153.26</v>
      </c>
      <c r="J207" s="171">
        <f t="shared" si="78"/>
        <v>18261</v>
      </c>
      <c r="K207" s="202">
        <v>15288</v>
      </c>
      <c r="L207" s="171">
        <v>2973</v>
      </c>
      <c r="M207" s="197">
        <v>14833.08</v>
      </c>
      <c r="N207" s="171">
        <f t="shared" si="72"/>
        <v>17806.080000000002</v>
      </c>
      <c r="O207" s="202">
        <v>16975.13</v>
      </c>
      <c r="P207" s="238">
        <v>830.95000000000073</v>
      </c>
      <c r="Q207" s="197">
        <v>13969.149999999998</v>
      </c>
      <c r="R207" s="171">
        <f t="shared" si="73"/>
        <v>14800.099999999999</v>
      </c>
      <c r="S207" s="202">
        <v>15858.319999999998</v>
      </c>
      <c r="T207" s="238">
        <v>0</v>
      </c>
      <c r="U207" s="238">
        <v>13193.73</v>
      </c>
      <c r="V207" s="171">
        <f t="shared" si="74"/>
        <v>13193.73</v>
      </c>
      <c r="W207" s="56">
        <v>14014.560000000001</v>
      </c>
      <c r="X207" s="568">
        <f t="shared" si="80"/>
        <v>0</v>
      </c>
      <c r="Y207" s="569">
        <v>13934.079999999998</v>
      </c>
      <c r="Z207" s="171">
        <f t="shared" si="75"/>
        <v>13934.079999999998</v>
      </c>
      <c r="AA207" s="48">
        <v>13339</v>
      </c>
      <c r="AB207" s="238">
        <f t="shared" si="81"/>
        <v>595.07999999999811</v>
      </c>
      <c r="AC207" s="238">
        <v>14319.179999999998</v>
      </c>
      <c r="AD207" s="171">
        <f t="shared" si="76"/>
        <v>14914.259999999997</v>
      </c>
      <c r="AE207" s="238"/>
      <c r="AF207" s="238">
        <f t="shared" si="82"/>
        <v>0</v>
      </c>
      <c r="AG207" s="196">
        <v>199</v>
      </c>
      <c r="AH207" s="73" t="s">
        <v>245</v>
      </c>
      <c r="AI207" s="139" t="s">
        <v>246</v>
      </c>
      <c r="AJ207" s="238">
        <f t="shared" si="83"/>
        <v>0</v>
      </c>
      <c r="AK207" s="238"/>
      <c r="AL207" s="358" t="s">
        <v>245</v>
      </c>
      <c r="AM207" s="48">
        <v>13339</v>
      </c>
      <c r="AN207" s="238" t="s">
        <v>245</v>
      </c>
      <c r="AO207" s="238">
        <v>14319.179999999998</v>
      </c>
      <c r="AQ207" s="472">
        <f t="shared" si="84"/>
        <v>0</v>
      </c>
      <c r="AS207" t="s">
        <v>245</v>
      </c>
      <c r="AT207" t="s">
        <v>1702</v>
      </c>
      <c r="AU207" s="48">
        <v>10995.32</v>
      </c>
      <c r="AV207" s="48">
        <v>0</v>
      </c>
      <c r="AW207" s="48">
        <v>390.04</v>
      </c>
      <c r="AX207" s="48">
        <v>0</v>
      </c>
      <c r="AY207" s="48">
        <v>0</v>
      </c>
      <c r="AZ207" s="48">
        <v>951.22</v>
      </c>
      <c r="BA207" s="48">
        <v>488.71</v>
      </c>
      <c r="BB207" s="48">
        <v>1444.56</v>
      </c>
      <c r="BC207" s="48">
        <v>49.33</v>
      </c>
      <c r="BD207" s="48">
        <v>0</v>
      </c>
      <c r="BE207" s="48"/>
      <c r="BF207" s="48">
        <f t="shared" si="79"/>
        <v>14319.179999999998</v>
      </c>
      <c r="BG207" s="48"/>
      <c r="BH207" s="48"/>
      <c r="BI207" s="48" t="str">
        <f t="shared" si="85"/>
        <v>09013</v>
      </c>
      <c r="BJ207" s="48">
        <f t="shared" si="86"/>
        <v>14319.179999999998</v>
      </c>
      <c r="BK207" s="628">
        <f t="shared" si="87"/>
        <v>0</v>
      </c>
    </row>
    <row r="208" spans="1:63">
      <c r="A208" s="196">
        <v>201</v>
      </c>
      <c r="B208" s="73" t="s">
        <v>486</v>
      </c>
      <c r="C208" s="139" t="s">
        <v>487</v>
      </c>
      <c r="D208" s="168">
        <v>0</v>
      </c>
      <c r="E208" s="170">
        <v>38052.950000000004</v>
      </c>
      <c r="F208" s="171">
        <f t="shared" si="77"/>
        <v>38052.950000000004</v>
      </c>
      <c r="G208" s="181">
        <v>87568.46</v>
      </c>
      <c r="H208" s="178">
        <v>0</v>
      </c>
      <c r="I208" s="170">
        <v>54151.909999999989</v>
      </c>
      <c r="J208" s="171">
        <f t="shared" si="78"/>
        <v>54151.909999999989</v>
      </c>
      <c r="K208" s="202">
        <v>82586.180000000008</v>
      </c>
      <c r="L208" s="171">
        <v>0</v>
      </c>
      <c r="M208" s="197">
        <v>52879.260000000009</v>
      </c>
      <c r="N208" s="171">
        <f t="shared" si="72"/>
        <v>52879.260000000009</v>
      </c>
      <c r="O208" s="202">
        <v>89157.170000000013</v>
      </c>
      <c r="P208" s="238">
        <v>0</v>
      </c>
      <c r="Q208" s="197">
        <v>55534.28</v>
      </c>
      <c r="R208" s="171">
        <f t="shared" si="73"/>
        <v>55534.28</v>
      </c>
      <c r="S208" s="202">
        <v>88831.609999999986</v>
      </c>
      <c r="T208" s="238">
        <v>0</v>
      </c>
      <c r="U208" s="238">
        <v>56786.22</v>
      </c>
      <c r="V208" s="171">
        <f t="shared" si="74"/>
        <v>56786.22</v>
      </c>
      <c r="W208" s="56">
        <v>89596.209999999992</v>
      </c>
      <c r="X208" s="568">
        <f t="shared" si="80"/>
        <v>0</v>
      </c>
      <c r="Y208" s="569">
        <v>63447.87</v>
      </c>
      <c r="Z208" s="171">
        <f t="shared" si="75"/>
        <v>63447.87</v>
      </c>
      <c r="AA208" s="48">
        <v>89337.01</v>
      </c>
      <c r="AB208" s="238">
        <f t="shared" si="81"/>
        <v>0</v>
      </c>
      <c r="AC208" s="238">
        <v>64694.839999999989</v>
      </c>
      <c r="AD208" s="171">
        <f t="shared" si="76"/>
        <v>64694.839999999989</v>
      </c>
      <c r="AE208" s="238"/>
      <c r="AF208" s="238">
        <f t="shared" si="82"/>
        <v>0</v>
      </c>
      <c r="AG208" s="196">
        <v>200</v>
      </c>
      <c r="AH208" s="73" t="s">
        <v>486</v>
      </c>
      <c r="AI208" s="139" t="s">
        <v>487</v>
      </c>
      <c r="AJ208" s="238">
        <f t="shared" si="83"/>
        <v>0</v>
      </c>
      <c r="AK208" s="238"/>
      <c r="AL208" s="358" t="s">
        <v>486</v>
      </c>
      <c r="AM208" s="48">
        <v>89337.01</v>
      </c>
      <c r="AN208" s="238" t="s">
        <v>486</v>
      </c>
      <c r="AO208" s="238">
        <v>64694.839999999989</v>
      </c>
      <c r="AQ208" s="472">
        <f t="shared" si="84"/>
        <v>0</v>
      </c>
      <c r="AS208" t="s">
        <v>486</v>
      </c>
      <c r="AT208" t="s">
        <v>1825</v>
      </c>
      <c r="AU208" s="48">
        <v>45393.45</v>
      </c>
      <c r="AV208" s="48">
        <v>2337.1999999999998</v>
      </c>
      <c r="AW208" s="48">
        <v>621.29</v>
      </c>
      <c r="AX208" s="48">
        <v>0</v>
      </c>
      <c r="AY208" s="48">
        <v>8961.2999999999993</v>
      </c>
      <c r="AZ208" s="48">
        <v>3684.63</v>
      </c>
      <c r="BA208" s="48">
        <v>2314.08</v>
      </c>
      <c r="BB208" s="48">
        <v>1382.89</v>
      </c>
      <c r="BC208" s="48">
        <v>0</v>
      </c>
      <c r="BD208" s="48">
        <v>0</v>
      </c>
      <c r="BE208" s="48"/>
      <c r="BF208" s="48">
        <f t="shared" si="79"/>
        <v>64694.839999999989</v>
      </c>
      <c r="BG208" s="48"/>
      <c r="BH208" s="48"/>
      <c r="BI208" s="48" t="str">
        <f t="shared" si="85"/>
        <v>24410</v>
      </c>
      <c r="BJ208" s="48">
        <f t="shared" si="86"/>
        <v>64694.839999999989</v>
      </c>
      <c r="BK208" s="628">
        <f t="shared" si="87"/>
        <v>0</v>
      </c>
    </row>
    <row r="209" spans="1:63">
      <c r="A209" s="196">
        <v>202</v>
      </c>
      <c r="B209" s="73" t="s">
        <v>519</v>
      </c>
      <c r="C209" s="139" t="s">
        <v>520</v>
      </c>
      <c r="D209" s="168">
        <v>12665.760000000024</v>
      </c>
      <c r="E209" s="170">
        <v>168573.80999999997</v>
      </c>
      <c r="F209" s="171">
        <f t="shared" si="77"/>
        <v>181239.57</v>
      </c>
      <c r="G209" s="181">
        <v>151225.42000000001</v>
      </c>
      <c r="H209" s="178">
        <v>30014.149999999994</v>
      </c>
      <c r="I209" s="170">
        <v>209867.13</v>
      </c>
      <c r="J209" s="171">
        <f t="shared" si="78"/>
        <v>239881.28</v>
      </c>
      <c r="K209" s="202">
        <v>231927.34</v>
      </c>
      <c r="L209" s="171">
        <v>7953.9400000000023</v>
      </c>
      <c r="M209" s="197">
        <v>237205.75</v>
      </c>
      <c r="N209" s="171">
        <f t="shared" si="72"/>
        <v>245159.69</v>
      </c>
      <c r="O209" s="202">
        <v>317101.81</v>
      </c>
      <c r="P209" s="238">
        <v>0</v>
      </c>
      <c r="Q209" s="197">
        <v>276951.45999999996</v>
      </c>
      <c r="R209" s="171">
        <f t="shared" si="73"/>
        <v>276951.45999999996</v>
      </c>
      <c r="S209" s="202">
        <v>348379.77000000008</v>
      </c>
      <c r="T209" s="238">
        <v>0</v>
      </c>
      <c r="U209" s="238">
        <v>297201.27999999997</v>
      </c>
      <c r="V209" s="171">
        <f t="shared" si="74"/>
        <v>297201.27999999997</v>
      </c>
      <c r="W209" s="56">
        <v>361635.56</v>
      </c>
      <c r="X209" s="568">
        <f t="shared" si="80"/>
        <v>0</v>
      </c>
      <c r="Y209" s="569">
        <v>323287.94000000006</v>
      </c>
      <c r="Z209" s="171">
        <f t="shared" si="75"/>
        <v>323287.94000000006</v>
      </c>
      <c r="AA209" s="48">
        <v>386583.54999999987</v>
      </c>
      <c r="AB209" s="238">
        <f t="shared" si="81"/>
        <v>0</v>
      </c>
      <c r="AC209" s="238">
        <v>308623.90999999992</v>
      </c>
      <c r="AD209" s="171">
        <f t="shared" si="76"/>
        <v>308623.90999999992</v>
      </c>
      <c r="AE209" s="238"/>
      <c r="AF209" s="238">
        <f t="shared" si="82"/>
        <v>0</v>
      </c>
      <c r="AG209" s="196">
        <v>201</v>
      </c>
      <c r="AH209" s="73" t="s">
        <v>519</v>
      </c>
      <c r="AI209" s="139" t="s">
        <v>520</v>
      </c>
      <c r="AJ209" s="238">
        <f t="shared" si="83"/>
        <v>0</v>
      </c>
      <c r="AK209" s="238"/>
      <c r="AL209" s="358" t="s">
        <v>519</v>
      </c>
      <c r="AM209" s="48">
        <v>386583.54999999987</v>
      </c>
      <c r="AN209" s="238" t="s">
        <v>519</v>
      </c>
      <c r="AO209" s="238">
        <v>308623.90999999992</v>
      </c>
      <c r="AQ209" s="472">
        <f t="shared" si="84"/>
        <v>0</v>
      </c>
      <c r="AS209" t="s">
        <v>519</v>
      </c>
      <c r="AT209" t="s">
        <v>1841</v>
      </c>
      <c r="AU209" s="48">
        <v>219000.87</v>
      </c>
      <c r="AV209" s="48">
        <v>24820.05</v>
      </c>
      <c r="AW209" s="48">
        <v>12364.27</v>
      </c>
      <c r="AX209" s="48">
        <v>0</v>
      </c>
      <c r="AY209" s="48">
        <v>34676.720000000001</v>
      </c>
      <c r="AZ209" s="48">
        <v>10614.06</v>
      </c>
      <c r="BA209" s="48">
        <v>0</v>
      </c>
      <c r="BB209" s="48">
        <v>5842.22</v>
      </c>
      <c r="BC209" s="48">
        <v>1305.72</v>
      </c>
      <c r="BD209" s="48">
        <v>0</v>
      </c>
      <c r="BE209" s="48"/>
      <c r="BF209" s="48">
        <f t="shared" si="79"/>
        <v>308623.90999999992</v>
      </c>
      <c r="BG209" s="48"/>
      <c r="BH209" s="48"/>
      <c r="BI209" s="48" t="str">
        <f t="shared" si="85"/>
        <v>27344</v>
      </c>
      <c r="BJ209" s="48">
        <f t="shared" si="86"/>
        <v>308623.90999999992</v>
      </c>
      <c r="BK209" s="628">
        <f t="shared" si="87"/>
        <v>0</v>
      </c>
    </row>
    <row r="210" spans="1:63">
      <c r="A210" s="196">
        <v>203</v>
      </c>
      <c r="B210" s="73" t="s">
        <v>167</v>
      </c>
      <c r="C210" s="139" t="s">
        <v>168</v>
      </c>
      <c r="D210" s="168">
        <v>0</v>
      </c>
      <c r="E210" s="170">
        <v>320986.71999999997</v>
      </c>
      <c r="F210" s="171">
        <f t="shared" si="77"/>
        <v>320986.71999999997</v>
      </c>
      <c r="G210" s="181">
        <v>253398.2</v>
      </c>
      <c r="H210" s="178">
        <v>67588.51999999996</v>
      </c>
      <c r="I210" s="170">
        <v>474610.13999999996</v>
      </c>
      <c r="J210" s="171">
        <f t="shared" si="78"/>
        <v>542198.65999999992</v>
      </c>
      <c r="K210" s="202">
        <v>104776.38000000002</v>
      </c>
      <c r="L210" s="171">
        <v>437422.27999999991</v>
      </c>
      <c r="M210" s="197">
        <v>472990.57999999996</v>
      </c>
      <c r="N210" s="171">
        <f t="shared" si="72"/>
        <v>910412.85999999987</v>
      </c>
      <c r="O210" s="202">
        <v>246308</v>
      </c>
      <c r="P210" s="238">
        <v>664104.85999999987</v>
      </c>
      <c r="Q210" s="197">
        <v>523274.28</v>
      </c>
      <c r="R210" s="171">
        <f t="shared" si="73"/>
        <v>1187379.1399999999</v>
      </c>
      <c r="S210" s="202">
        <v>610116.7300000001</v>
      </c>
      <c r="T210" s="238">
        <v>577262.4099999998</v>
      </c>
      <c r="U210" s="238">
        <v>515819.49</v>
      </c>
      <c r="V210" s="171">
        <f t="shared" si="74"/>
        <v>1093081.8999999999</v>
      </c>
      <c r="W210" s="56">
        <v>77474.52</v>
      </c>
      <c r="X210" s="568">
        <f t="shared" si="80"/>
        <v>1015607.3799999999</v>
      </c>
      <c r="Y210" s="569">
        <v>546133.62</v>
      </c>
      <c r="Z210" s="171">
        <f t="shared" si="75"/>
        <v>1561741</v>
      </c>
      <c r="AA210" s="48">
        <v>602511.99000000022</v>
      </c>
      <c r="AB210" s="238">
        <f t="shared" si="81"/>
        <v>959229.00999999978</v>
      </c>
      <c r="AC210" s="238">
        <v>540058.51</v>
      </c>
      <c r="AD210" s="171">
        <f t="shared" si="76"/>
        <v>1499287.5199999998</v>
      </c>
      <c r="AE210" s="238"/>
      <c r="AF210" s="238">
        <f t="shared" si="82"/>
        <v>0</v>
      </c>
      <c r="AG210" s="196">
        <v>202</v>
      </c>
      <c r="AH210" s="73" t="s">
        <v>167</v>
      </c>
      <c r="AI210" s="139" t="s">
        <v>168</v>
      </c>
      <c r="AJ210" s="238">
        <f t="shared" si="83"/>
        <v>0</v>
      </c>
      <c r="AK210" s="238"/>
      <c r="AL210" s="358" t="s">
        <v>167</v>
      </c>
      <c r="AM210" s="48">
        <v>602511.99000000022</v>
      </c>
      <c r="AN210" s="238" t="s">
        <v>167</v>
      </c>
      <c r="AO210" s="238">
        <v>540058.51</v>
      </c>
      <c r="AQ210" s="472">
        <f t="shared" si="84"/>
        <v>0</v>
      </c>
      <c r="AS210" t="s">
        <v>167</v>
      </c>
      <c r="AT210" t="s">
        <v>1661</v>
      </c>
      <c r="AU210" s="48">
        <v>342367.13</v>
      </c>
      <c r="AV210" s="48">
        <v>26527.81</v>
      </c>
      <c r="AW210" s="48">
        <v>1498.52</v>
      </c>
      <c r="AX210" s="48">
        <v>0</v>
      </c>
      <c r="AY210" s="48">
        <v>55862.32</v>
      </c>
      <c r="AZ210" s="48">
        <v>35833.440000000002</v>
      </c>
      <c r="BA210" s="48">
        <v>19946.349999999999</v>
      </c>
      <c r="BB210" s="48">
        <v>46827.21</v>
      </c>
      <c r="BC210" s="48">
        <v>1911.69</v>
      </c>
      <c r="BD210" s="48">
        <v>9284.0400000000009</v>
      </c>
      <c r="BE210" s="48"/>
      <c r="BF210" s="48">
        <f t="shared" si="79"/>
        <v>540058.51</v>
      </c>
      <c r="BG210" s="48"/>
      <c r="BH210" s="48"/>
      <c r="BI210" s="48" t="str">
        <f t="shared" si="85"/>
        <v>01147</v>
      </c>
      <c r="BJ210" s="48">
        <f t="shared" si="86"/>
        <v>540058.51</v>
      </c>
      <c r="BK210" s="628">
        <f t="shared" si="87"/>
        <v>0</v>
      </c>
    </row>
    <row r="211" spans="1:63">
      <c r="A211" s="196">
        <v>204</v>
      </c>
      <c r="B211" s="73" t="s">
        <v>249</v>
      </c>
      <c r="C211" s="139" t="s">
        <v>250</v>
      </c>
      <c r="D211" s="168">
        <v>1506.6499999999999</v>
      </c>
      <c r="E211" s="170">
        <v>3060.2999999999997</v>
      </c>
      <c r="F211" s="171">
        <f t="shared" si="77"/>
        <v>4566.95</v>
      </c>
      <c r="G211" s="181">
        <v>392.06</v>
      </c>
      <c r="H211" s="178">
        <v>4174.8899999999994</v>
      </c>
      <c r="I211" s="170">
        <v>4700.0599999999995</v>
      </c>
      <c r="J211" s="171">
        <f t="shared" si="78"/>
        <v>8874.9499999999989</v>
      </c>
      <c r="K211" s="202">
        <v>5015.4699999999993</v>
      </c>
      <c r="L211" s="171">
        <v>3859.4799999999996</v>
      </c>
      <c r="M211" s="197">
        <v>4656.6000000000004</v>
      </c>
      <c r="N211" s="171">
        <f t="shared" si="72"/>
        <v>8516.08</v>
      </c>
      <c r="O211" s="202">
        <v>3227.45</v>
      </c>
      <c r="P211" s="238">
        <v>5288.63</v>
      </c>
      <c r="Q211" s="197">
        <v>4934.84</v>
      </c>
      <c r="R211" s="171">
        <f t="shared" si="73"/>
        <v>10223.470000000001</v>
      </c>
      <c r="S211" s="202">
        <v>6132.27</v>
      </c>
      <c r="T211" s="238">
        <v>4091.2000000000007</v>
      </c>
      <c r="U211" s="238">
        <v>4518.8500000000004</v>
      </c>
      <c r="V211" s="171">
        <f t="shared" si="74"/>
        <v>8610.0500000000011</v>
      </c>
      <c r="W211" s="56">
        <v>9041.82</v>
      </c>
      <c r="X211" s="568">
        <f t="shared" si="80"/>
        <v>0</v>
      </c>
      <c r="Y211" s="569">
        <v>4910.7</v>
      </c>
      <c r="Z211" s="171">
        <f t="shared" si="75"/>
        <v>4910.7</v>
      </c>
      <c r="AA211" s="48">
        <v>4910.7000000000007</v>
      </c>
      <c r="AB211" s="238">
        <f t="shared" si="81"/>
        <v>0</v>
      </c>
      <c r="AC211" s="238">
        <v>4853.21</v>
      </c>
      <c r="AD211" s="171">
        <f t="shared" si="76"/>
        <v>4853.21</v>
      </c>
      <c r="AE211" s="238"/>
      <c r="AF211" s="238">
        <f t="shared" si="82"/>
        <v>0</v>
      </c>
      <c r="AG211" s="196">
        <v>203</v>
      </c>
      <c r="AH211" s="73" t="s">
        <v>249</v>
      </c>
      <c r="AI211" s="139" t="s">
        <v>250</v>
      </c>
      <c r="AJ211" s="238">
        <f t="shared" si="83"/>
        <v>0</v>
      </c>
      <c r="AK211" s="238"/>
      <c r="AL211" s="358" t="s">
        <v>249</v>
      </c>
      <c r="AM211" s="48">
        <v>4910.7000000000007</v>
      </c>
      <c r="AN211" s="238" t="s">
        <v>249</v>
      </c>
      <c r="AO211" s="238">
        <v>4853.21</v>
      </c>
      <c r="AQ211" s="472">
        <f t="shared" si="84"/>
        <v>0</v>
      </c>
      <c r="AS211" t="s">
        <v>249</v>
      </c>
      <c r="AT211" t="s">
        <v>1704</v>
      </c>
      <c r="AU211" s="48">
        <v>4060.8</v>
      </c>
      <c r="AV211" s="48">
        <v>0</v>
      </c>
      <c r="AW211" s="48">
        <v>0</v>
      </c>
      <c r="AX211" s="48">
        <v>0</v>
      </c>
      <c r="AY211" s="48">
        <v>0</v>
      </c>
      <c r="AZ211" s="48">
        <v>280.58</v>
      </c>
      <c r="BA211" s="48">
        <v>140.29</v>
      </c>
      <c r="BB211" s="48">
        <v>129.5</v>
      </c>
      <c r="BC211" s="48">
        <v>10.79</v>
      </c>
      <c r="BD211" s="48">
        <v>231.25</v>
      </c>
      <c r="BE211" s="48"/>
      <c r="BF211" s="48">
        <f t="shared" si="79"/>
        <v>4853.21</v>
      </c>
      <c r="BG211" s="48"/>
      <c r="BH211" s="48"/>
      <c r="BI211" s="48" t="str">
        <f t="shared" si="85"/>
        <v>09102</v>
      </c>
      <c r="BJ211" s="48">
        <f t="shared" si="86"/>
        <v>4853.21</v>
      </c>
      <c r="BK211" s="628">
        <f t="shared" si="87"/>
        <v>0</v>
      </c>
    </row>
    <row r="212" spans="1:63">
      <c r="A212" s="196">
        <v>205</v>
      </c>
      <c r="B212" s="73" t="s">
        <v>695</v>
      </c>
      <c r="C212" s="139" t="s">
        <v>696</v>
      </c>
      <c r="D212" s="168">
        <v>8098.05</v>
      </c>
      <c r="E212" s="170">
        <v>16472.289999999997</v>
      </c>
      <c r="F212" s="171">
        <f t="shared" si="77"/>
        <v>24570.339999999997</v>
      </c>
      <c r="G212" s="181"/>
      <c r="H212" s="178">
        <v>24570.339999999997</v>
      </c>
      <c r="I212" s="170">
        <v>22709.79</v>
      </c>
      <c r="J212" s="171">
        <f t="shared" si="78"/>
        <v>47280.13</v>
      </c>
      <c r="K212" s="202"/>
      <c r="L212" s="171">
        <v>47280.13</v>
      </c>
      <c r="M212" s="197">
        <v>23197.34</v>
      </c>
      <c r="N212" s="171">
        <f t="shared" si="72"/>
        <v>70477.47</v>
      </c>
      <c r="O212" s="202">
        <v>21900.09</v>
      </c>
      <c r="P212" s="238">
        <v>48577.380000000005</v>
      </c>
      <c r="Q212" s="197">
        <v>25145.75</v>
      </c>
      <c r="R212" s="171">
        <f t="shared" si="73"/>
        <v>73723.13</v>
      </c>
      <c r="S212" s="202">
        <v>27046.440000000002</v>
      </c>
      <c r="T212" s="238">
        <v>46676.69</v>
      </c>
      <c r="U212" s="238">
        <v>25515.88</v>
      </c>
      <c r="V212" s="171">
        <f t="shared" si="74"/>
        <v>72192.570000000007</v>
      </c>
      <c r="W212" s="56">
        <v>32631.13</v>
      </c>
      <c r="X212" s="568">
        <f t="shared" si="80"/>
        <v>39561.440000000002</v>
      </c>
      <c r="Y212" s="569">
        <v>28464.510000000002</v>
      </c>
      <c r="Z212" s="171">
        <f t="shared" si="75"/>
        <v>68025.950000000012</v>
      </c>
      <c r="AA212" s="48">
        <v>33718.689999999995</v>
      </c>
      <c r="AB212" s="238">
        <f t="shared" si="81"/>
        <v>34307.260000000017</v>
      </c>
      <c r="AC212" s="238">
        <v>28623.199999999997</v>
      </c>
      <c r="AD212" s="171">
        <f t="shared" si="76"/>
        <v>62930.460000000014</v>
      </c>
      <c r="AE212" s="238"/>
      <c r="AF212" s="238">
        <f t="shared" si="82"/>
        <v>0</v>
      </c>
      <c r="AG212" s="196">
        <v>204</v>
      </c>
      <c r="AH212" s="73" t="s">
        <v>695</v>
      </c>
      <c r="AI212" s="139" t="s">
        <v>696</v>
      </c>
      <c r="AJ212" s="238">
        <f t="shared" si="83"/>
        <v>0</v>
      </c>
      <c r="AK212" s="238"/>
      <c r="AL212" s="358" t="s">
        <v>695</v>
      </c>
      <c r="AM212" s="48">
        <v>33718.689999999995</v>
      </c>
      <c r="AN212" s="238" t="s">
        <v>695</v>
      </c>
      <c r="AO212" s="238">
        <v>28623.199999999997</v>
      </c>
      <c r="AQ212" s="472">
        <f t="shared" si="84"/>
        <v>0</v>
      </c>
      <c r="AS212" t="s">
        <v>695</v>
      </c>
      <c r="AT212" t="s">
        <v>1934</v>
      </c>
      <c r="AU212" s="48">
        <v>23120.68</v>
      </c>
      <c r="AV212" s="48">
        <v>1045.26</v>
      </c>
      <c r="AW212" s="48">
        <v>0</v>
      </c>
      <c r="AX212" s="48">
        <v>0</v>
      </c>
      <c r="AY212" s="48">
        <v>2241.86</v>
      </c>
      <c r="AZ212" s="48">
        <v>724.59</v>
      </c>
      <c r="BA212" s="48">
        <v>0</v>
      </c>
      <c r="BB212" s="48">
        <v>0</v>
      </c>
      <c r="BC212" s="48">
        <v>72.459999999999994</v>
      </c>
      <c r="BD212" s="48">
        <v>1418.35</v>
      </c>
      <c r="BE212" s="48"/>
      <c r="BF212" s="48">
        <f t="shared" si="79"/>
        <v>28623.199999999997</v>
      </c>
      <c r="BG212" s="48"/>
      <c r="BH212" s="48"/>
      <c r="BI212" s="48" t="str">
        <f t="shared" si="85"/>
        <v>38301</v>
      </c>
      <c r="BJ212" s="48">
        <f t="shared" si="86"/>
        <v>28623.199999999997</v>
      </c>
      <c r="BK212" s="628">
        <f t="shared" si="87"/>
        <v>0</v>
      </c>
    </row>
    <row r="213" spans="1:63">
      <c r="A213" s="196">
        <v>206</v>
      </c>
      <c r="B213" s="290" t="s">
        <v>2305</v>
      </c>
      <c r="C213" s="295" t="s">
        <v>2304</v>
      </c>
      <c r="D213" s="168"/>
      <c r="E213" s="170"/>
      <c r="F213" s="171"/>
      <c r="G213" s="181"/>
      <c r="H213" s="178"/>
      <c r="I213" s="170"/>
      <c r="J213" s="171"/>
      <c r="K213" s="202"/>
      <c r="L213" s="171"/>
      <c r="M213" s="197"/>
      <c r="N213" s="171"/>
      <c r="O213" s="202"/>
      <c r="P213" s="238"/>
      <c r="Q213" s="197"/>
      <c r="R213" s="171"/>
      <c r="S213" s="202">
        <v>0</v>
      </c>
      <c r="T213" s="238">
        <v>0</v>
      </c>
      <c r="U213" s="238">
        <v>30213.91</v>
      </c>
      <c r="V213" s="171"/>
      <c r="W213" s="56"/>
      <c r="X213" s="568">
        <f t="shared" si="80"/>
        <v>0</v>
      </c>
      <c r="Y213" s="569">
        <v>32404.260000000006</v>
      </c>
      <c r="Z213" s="171"/>
      <c r="AA213" s="48"/>
      <c r="AB213" s="238">
        <f t="shared" si="81"/>
        <v>0</v>
      </c>
      <c r="AC213" s="238">
        <v>32573.049999999996</v>
      </c>
      <c r="AD213" s="171"/>
      <c r="AE213" s="238"/>
      <c r="AF213" s="238">
        <f t="shared" si="82"/>
        <v>0</v>
      </c>
      <c r="AG213" s="196">
        <v>205</v>
      </c>
      <c r="AH213" s="290" t="s">
        <v>2305</v>
      </c>
      <c r="AI213" s="295" t="s">
        <v>2304</v>
      </c>
      <c r="AJ213" s="238">
        <f t="shared" si="83"/>
        <v>0</v>
      </c>
      <c r="AK213" s="238"/>
      <c r="AL213" s="290" t="s">
        <v>2305</v>
      </c>
      <c r="AM213" s="48"/>
      <c r="AN213" s="238" t="s">
        <v>2305</v>
      </c>
      <c r="AO213" s="238">
        <v>32573.049999999996</v>
      </c>
      <c r="AQ213" s="472">
        <f t="shared" si="84"/>
        <v>0</v>
      </c>
      <c r="AS213" t="s">
        <v>2305</v>
      </c>
      <c r="AT213" t="s">
        <v>2395</v>
      </c>
      <c r="AU213" s="48">
        <v>25405.46</v>
      </c>
      <c r="AV213" s="48">
        <v>118.71</v>
      </c>
      <c r="AW213" s="48">
        <v>194.25</v>
      </c>
      <c r="AX213" s="48">
        <v>0</v>
      </c>
      <c r="AY213" s="48">
        <v>4660.8100000000004</v>
      </c>
      <c r="AZ213" s="48">
        <v>1452.26</v>
      </c>
      <c r="BA213" s="48">
        <v>666.01</v>
      </c>
      <c r="BB213" s="48">
        <v>0</v>
      </c>
      <c r="BC213" s="48">
        <v>75.55</v>
      </c>
      <c r="BD213" s="48">
        <v>0</v>
      </c>
      <c r="BE213" s="48"/>
      <c r="BF213" s="48">
        <f t="shared" si="79"/>
        <v>32573.049999999996</v>
      </c>
      <c r="BG213" s="48"/>
      <c r="BH213" s="48"/>
      <c r="BI213" s="48" t="str">
        <f t="shared" si="85"/>
        <v>24915</v>
      </c>
      <c r="BJ213" s="48">
        <f t="shared" si="86"/>
        <v>32573.049999999996</v>
      </c>
      <c r="BK213" s="628">
        <f t="shared" si="87"/>
        <v>0</v>
      </c>
    </row>
    <row r="214" spans="1:63">
      <c r="A214" s="196">
        <v>207</v>
      </c>
      <c r="B214" s="73" t="s">
        <v>267</v>
      </c>
      <c r="C214" s="139" t="s">
        <v>268</v>
      </c>
      <c r="D214" s="168">
        <v>71272.899999999907</v>
      </c>
      <c r="E214" s="170">
        <v>1237361.24</v>
      </c>
      <c r="F214" s="171">
        <f>+D214+E214</f>
        <v>1308634.1399999999</v>
      </c>
      <c r="G214" s="181">
        <v>1155448.05</v>
      </c>
      <c r="H214" s="178">
        <v>153186.08999999985</v>
      </c>
      <c r="I214" s="170">
        <v>1816798.91</v>
      </c>
      <c r="J214" s="171">
        <f>+H214+I214</f>
        <v>1969984.9999999998</v>
      </c>
      <c r="K214" s="202">
        <v>2520354.7400000002</v>
      </c>
      <c r="L214" s="171">
        <v>0</v>
      </c>
      <c r="M214" s="197">
        <v>1841766.78</v>
      </c>
      <c r="N214" s="171">
        <f t="shared" ref="N214:N247" si="88">+L214+M214</f>
        <v>1841766.78</v>
      </c>
      <c r="O214" s="202">
        <v>1305153.26</v>
      </c>
      <c r="P214" s="238">
        <v>536613.52</v>
      </c>
      <c r="Q214" s="197">
        <v>2015531.5699999998</v>
      </c>
      <c r="R214" s="171">
        <f t="shared" ref="R214:R247" si="89">+P214+Q214</f>
        <v>2552145.09</v>
      </c>
      <c r="S214" s="202">
        <v>2736932.8000000003</v>
      </c>
      <c r="T214" s="238">
        <v>0</v>
      </c>
      <c r="U214" s="238">
        <v>2075379.08</v>
      </c>
      <c r="V214" s="171">
        <f t="shared" ref="V214:V247" si="90">+T214+U214</f>
        <v>2075379.08</v>
      </c>
      <c r="W214" s="56">
        <v>2484075.7399999998</v>
      </c>
      <c r="X214" s="568">
        <f t="shared" si="80"/>
        <v>0</v>
      </c>
      <c r="Y214" s="569">
        <v>2193596.0299999998</v>
      </c>
      <c r="Z214" s="171">
        <f t="shared" ref="Z214:Z247" si="91">+X214+Y214</f>
        <v>2193596.0299999998</v>
      </c>
      <c r="AA214" s="48">
        <v>1924761.54</v>
      </c>
      <c r="AB214" s="238">
        <f t="shared" si="81"/>
        <v>268834.48999999976</v>
      </c>
      <c r="AC214" s="238">
        <v>2212095.52</v>
      </c>
      <c r="AD214" s="171">
        <f t="shared" ref="AD214:AD247" si="92">+AB214+AC214</f>
        <v>2480930.0099999998</v>
      </c>
      <c r="AE214" s="238"/>
      <c r="AF214" s="238">
        <f t="shared" si="82"/>
        <v>0</v>
      </c>
      <c r="AG214" s="196">
        <v>206</v>
      </c>
      <c r="AH214" s="73" t="s">
        <v>267</v>
      </c>
      <c r="AI214" s="139" t="s">
        <v>268</v>
      </c>
      <c r="AJ214" s="238">
        <f t="shared" si="83"/>
        <v>0</v>
      </c>
      <c r="AK214" s="238"/>
      <c r="AL214" s="358" t="s">
        <v>267</v>
      </c>
      <c r="AM214" s="48">
        <v>1924761.54</v>
      </c>
      <c r="AN214" s="238" t="s">
        <v>267</v>
      </c>
      <c r="AO214" s="238">
        <v>2212095.52</v>
      </c>
      <c r="AQ214" s="472">
        <f t="shared" si="84"/>
        <v>0</v>
      </c>
      <c r="AS214" t="s">
        <v>267</v>
      </c>
      <c r="AT214" t="s">
        <v>1713</v>
      </c>
      <c r="AU214" s="48">
        <v>1404079.4</v>
      </c>
      <c r="AV214" s="48">
        <v>109473.68</v>
      </c>
      <c r="AW214" s="48">
        <v>24306.25</v>
      </c>
      <c r="AX214" s="48">
        <v>0</v>
      </c>
      <c r="AY214" s="48">
        <v>281414.27</v>
      </c>
      <c r="AZ214" s="48">
        <v>132332.28</v>
      </c>
      <c r="BA214" s="48">
        <v>77425.070000000007</v>
      </c>
      <c r="BB214" s="48">
        <v>165694.39000000001</v>
      </c>
      <c r="BC214" s="48">
        <v>8021.39</v>
      </c>
      <c r="BD214" s="48">
        <v>9348.7900000000009</v>
      </c>
      <c r="BE214" s="48"/>
      <c r="BF214" s="48">
        <f t="shared" si="79"/>
        <v>2212095.52</v>
      </c>
      <c r="BG214" s="48"/>
      <c r="BH214" s="48"/>
      <c r="BI214" s="48" t="str">
        <f t="shared" si="85"/>
        <v>11001</v>
      </c>
      <c r="BJ214" s="48">
        <f t="shared" si="86"/>
        <v>2212095.52</v>
      </c>
      <c r="BK214" s="628">
        <f t="shared" si="87"/>
        <v>0</v>
      </c>
    </row>
    <row r="215" spans="1:63">
      <c r="A215" s="196">
        <v>208</v>
      </c>
      <c r="B215" s="73" t="s">
        <v>480</v>
      </c>
      <c r="C215" s="139" t="s">
        <v>481</v>
      </c>
      <c r="D215" s="168">
        <v>0</v>
      </c>
      <c r="E215" s="170">
        <v>25355.58</v>
      </c>
      <c r="F215" s="171">
        <f>+D215+E215</f>
        <v>25355.58</v>
      </c>
      <c r="G215" s="181">
        <v>1223.82</v>
      </c>
      <c r="H215" s="178">
        <v>24131.760000000002</v>
      </c>
      <c r="I215" s="170">
        <v>37787.39</v>
      </c>
      <c r="J215" s="171">
        <f>+H215+I215</f>
        <v>61919.15</v>
      </c>
      <c r="K215" s="202">
        <v>22999.99</v>
      </c>
      <c r="L215" s="171">
        <v>38919.160000000003</v>
      </c>
      <c r="M215" s="197">
        <v>37269.490000000005</v>
      </c>
      <c r="N215" s="171">
        <f t="shared" si="88"/>
        <v>76188.650000000009</v>
      </c>
      <c r="O215" s="202">
        <v>34721</v>
      </c>
      <c r="P215" s="238">
        <v>41467.650000000009</v>
      </c>
      <c r="Q215" s="197">
        <v>37632.25</v>
      </c>
      <c r="R215" s="171">
        <f t="shared" si="89"/>
        <v>79099.900000000009</v>
      </c>
      <c r="S215" s="202">
        <v>34347.93</v>
      </c>
      <c r="T215" s="238">
        <v>44751.970000000008</v>
      </c>
      <c r="U215" s="238">
        <v>33947.740000000005</v>
      </c>
      <c r="V215" s="171">
        <f t="shared" si="90"/>
        <v>78699.710000000021</v>
      </c>
      <c r="W215" s="56">
        <v>47689.33</v>
      </c>
      <c r="X215" s="568">
        <f t="shared" si="80"/>
        <v>31010.380000000019</v>
      </c>
      <c r="Y215" s="569">
        <v>36864.67</v>
      </c>
      <c r="Z215" s="171">
        <f t="shared" si="91"/>
        <v>67875.050000000017</v>
      </c>
      <c r="AA215" s="48">
        <v>58429.060000000012</v>
      </c>
      <c r="AB215" s="238">
        <f t="shared" si="81"/>
        <v>9445.9900000000052</v>
      </c>
      <c r="AC215" s="238">
        <v>37325.909999999996</v>
      </c>
      <c r="AD215" s="171">
        <f t="shared" si="92"/>
        <v>46771.9</v>
      </c>
      <c r="AE215" s="238"/>
      <c r="AF215" s="238">
        <f t="shared" si="82"/>
        <v>0</v>
      </c>
      <c r="AG215" s="196">
        <v>207</v>
      </c>
      <c r="AH215" s="73" t="s">
        <v>480</v>
      </c>
      <c r="AI215" s="139" t="s">
        <v>481</v>
      </c>
      <c r="AJ215" s="238">
        <f t="shared" si="83"/>
        <v>0</v>
      </c>
      <c r="AK215" s="238"/>
      <c r="AL215" s="358" t="s">
        <v>480</v>
      </c>
      <c r="AM215" s="48">
        <v>58429.060000000012</v>
      </c>
      <c r="AN215" s="238" t="s">
        <v>480</v>
      </c>
      <c r="AO215" s="238">
        <v>37325.909999999996</v>
      </c>
      <c r="AQ215" s="472">
        <f t="shared" si="84"/>
        <v>0</v>
      </c>
      <c r="AS215" t="s">
        <v>480</v>
      </c>
      <c r="AT215" t="s">
        <v>1822</v>
      </c>
      <c r="AU215" s="48">
        <v>24973.79</v>
      </c>
      <c r="AV215" s="48">
        <v>2048.9</v>
      </c>
      <c r="AW215" s="48">
        <v>282.13</v>
      </c>
      <c r="AX215" s="48">
        <v>0</v>
      </c>
      <c r="AY215" s="48">
        <v>4888.8100000000004</v>
      </c>
      <c r="AZ215" s="48">
        <v>1646.52</v>
      </c>
      <c r="BA215" s="48">
        <v>1031.3900000000001</v>
      </c>
      <c r="BB215" s="48">
        <v>1091.52</v>
      </c>
      <c r="BC215" s="48">
        <v>98.67</v>
      </c>
      <c r="BD215" s="48">
        <v>1264.18</v>
      </c>
      <c r="BE215" s="48"/>
      <c r="BF215" s="48">
        <f t="shared" si="79"/>
        <v>37325.909999999996</v>
      </c>
      <c r="BG215" s="48"/>
      <c r="BH215" s="48"/>
      <c r="BI215" s="48" t="str">
        <f t="shared" si="85"/>
        <v>24122</v>
      </c>
      <c r="BJ215" s="48">
        <f t="shared" si="86"/>
        <v>37325.909999999996</v>
      </c>
      <c r="BK215" s="628">
        <f t="shared" si="87"/>
        <v>0</v>
      </c>
    </row>
    <row r="216" spans="1:63">
      <c r="A216" s="196">
        <v>209</v>
      </c>
      <c r="B216" s="73" t="s">
        <v>179</v>
      </c>
      <c r="C216" s="139" t="s">
        <v>180</v>
      </c>
      <c r="D216" s="168">
        <v>1839.7800000000007</v>
      </c>
      <c r="E216" s="170">
        <v>7724.67</v>
      </c>
      <c r="F216" s="171">
        <f>+D216+E216</f>
        <v>9564.4500000000007</v>
      </c>
      <c r="G216" s="181">
        <v>2965.02</v>
      </c>
      <c r="H216" s="178">
        <v>6599.43</v>
      </c>
      <c r="I216" s="170">
        <v>15162.550000000001</v>
      </c>
      <c r="J216" s="171">
        <f>+H216+I216</f>
        <v>21761.980000000003</v>
      </c>
      <c r="K216" s="202">
        <v>20338.63</v>
      </c>
      <c r="L216" s="171">
        <v>1423.3500000000022</v>
      </c>
      <c r="M216" s="197">
        <v>15831.239999999998</v>
      </c>
      <c r="N216" s="171">
        <f t="shared" si="88"/>
        <v>17254.59</v>
      </c>
      <c r="O216" s="202">
        <v>6988.4400000000005</v>
      </c>
      <c r="P216" s="238">
        <v>10266.15</v>
      </c>
      <c r="Q216" s="197">
        <v>17677.120000000003</v>
      </c>
      <c r="R216" s="171">
        <f t="shared" si="89"/>
        <v>27943.270000000004</v>
      </c>
      <c r="S216" s="202">
        <v>5076.6600000000008</v>
      </c>
      <c r="T216" s="238">
        <v>22866.610000000004</v>
      </c>
      <c r="U216" s="238">
        <v>17821.72</v>
      </c>
      <c r="V216" s="171">
        <f t="shared" si="90"/>
        <v>40688.33</v>
      </c>
      <c r="W216" s="56">
        <v>23638.370000000003</v>
      </c>
      <c r="X216" s="568">
        <f t="shared" si="80"/>
        <v>17049.96</v>
      </c>
      <c r="Y216" s="569">
        <v>18143.43</v>
      </c>
      <c r="Z216" s="171">
        <f t="shared" si="91"/>
        <v>35193.39</v>
      </c>
      <c r="AA216" s="48">
        <v>13109.44</v>
      </c>
      <c r="AB216" s="238">
        <f t="shared" si="81"/>
        <v>22083.949999999997</v>
      </c>
      <c r="AC216" s="238">
        <v>19786.04</v>
      </c>
      <c r="AD216" s="171">
        <f t="shared" si="92"/>
        <v>41869.99</v>
      </c>
      <c r="AE216" s="238"/>
      <c r="AF216" s="238">
        <f t="shared" si="82"/>
        <v>0</v>
      </c>
      <c r="AG216" s="196">
        <v>208</v>
      </c>
      <c r="AH216" s="73" t="s">
        <v>179</v>
      </c>
      <c r="AI216" s="139" t="s">
        <v>180</v>
      </c>
      <c r="AJ216" s="238">
        <f t="shared" si="83"/>
        <v>0</v>
      </c>
      <c r="AK216" s="238"/>
      <c r="AL216" s="358" t="s">
        <v>179</v>
      </c>
      <c r="AM216" s="48">
        <v>13109.44</v>
      </c>
      <c r="AN216" s="238" t="s">
        <v>179</v>
      </c>
      <c r="AO216" s="238">
        <v>19786.04</v>
      </c>
      <c r="AQ216" s="472">
        <f t="shared" si="84"/>
        <v>0</v>
      </c>
      <c r="AS216" t="s">
        <v>179</v>
      </c>
      <c r="AT216" t="s">
        <v>1667</v>
      </c>
      <c r="AU216" s="48">
        <v>12765.17</v>
      </c>
      <c r="AV216" s="48">
        <v>0</v>
      </c>
      <c r="AW216" s="48">
        <v>1122.3499999999999</v>
      </c>
      <c r="AX216" s="48">
        <v>0</v>
      </c>
      <c r="AY216" s="48">
        <v>3391.75</v>
      </c>
      <c r="AZ216" s="48">
        <v>1339.72</v>
      </c>
      <c r="BA216" s="48">
        <v>615.13</v>
      </c>
      <c r="BB216" s="48">
        <v>490.26</v>
      </c>
      <c r="BC216" s="48">
        <v>61.66</v>
      </c>
      <c r="BD216" s="48">
        <v>0</v>
      </c>
      <c r="BE216" s="48"/>
      <c r="BF216" s="48">
        <f t="shared" si="79"/>
        <v>19786.04</v>
      </c>
      <c r="BG216" s="48"/>
      <c r="BH216" s="48"/>
      <c r="BI216" s="48" t="str">
        <f t="shared" si="85"/>
        <v>03050</v>
      </c>
      <c r="BJ216" s="48">
        <f t="shared" si="86"/>
        <v>19786.04</v>
      </c>
      <c r="BK216" s="628">
        <f t="shared" si="87"/>
        <v>0</v>
      </c>
    </row>
    <row r="217" spans="1:63">
      <c r="A217" s="196">
        <v>210</v>
      </c>
      <c r="B217" s="73" t="s">
        <v>434</v>
      </c>
      <c r="C217" s="139" t="s">
        <v>435</v>
      </c>
      <c r="D217" s="168">
        <v>877.38000000000102</v>
      </c>
      <c r="E217" s="170">
        <v>22306.749999999996</v>
      </c>
      <c r="F217" s="171">
        <f>+D217+E217</f>
        <v>23184.129999999997</v>
      </c>
      <c r="G217" s="181">
        <v>25251.16</v>
      </c>
      <c r="H217" s="178">
        <v>0</v>
      </c>
      <c r="I217" s="170">
        <v>33578.43</v>
      </c>
      <c r="J217" s="171">
        <f>+H217+I217</f>
        <v>33578.43</v>
      </c>
      <c r="K217" s="202">
        <v>39508.07</v>
      </c>
      <c r="L217" s="171">
        <v>0</v>
      </c>
      <c r="M217" s="197">
        <v>33922.300000000003</v>
      </c>
      <c r="N217" s="171">
        <f t="shared" si="88"/>
        <v>33922.300000000003</v>
      </c>
      <c r="O217" s="202">
        <v>24188.079999999998</v>
      </c>
      <c r="P217" s="238">
        <v>9734.2200000000048</v>
      </c>
      <c r="Q217" s="197">
        <v>38899.93</v>
      </c>
      <c r="R217" s="171">
        <f t="shared" si="89"/>
        <v>48634.150000000009</v>
      </c>
      <c r="S217" s="202">
        <v>36847.759999999995</v>
      </c>
      <c r="T217" s="238">
        <v>11786.390000000014</v>
      </c>
      <c r="U217" s="238">
        <v>38018.26</v>
      </c>
      <c r="V217" s="171">
        <f t="shared" si="90"/>
        <v>49804.650000000016</v>
      </c>
      <c r="W217" s="56">
        <v>48609.29</v>
      </c>
      <c r="X217" s="568">
        <f t="shared" si="80"/>
        <v>1195.3600000000151</v>
      </c>
      <c r="Y217" s="569">
        <v>42394.170000000006</v>
      </c>
      <c r="Z217" s="171">
        <f t="shared" si="91"/>
        <v>43589.530000000021</v>
      </c>
      <c r="AA217" s="48">
        <v>43589.530000000013</v>
      </c>
      <c r="AB217" s="238">
        <f t="shared" si="81"/>
        <v>7.2759576141834259E-12</v>
      </c>
      <c r="AC217" s="238">
        <v>41807.81</v>
      </c>
      <c r="AD217" s="171">
        <f t="shared" si="92"/>
        <v>41807.810000000005</v>
      </c>
      <c r="AE217" s="238"/>
      <c r="AF217" s="238">
        <f t="shared" si="82"/>
        <v>0</v>
      </c>
      <c r="AG217" s="196">
        <v>209</v>
      </c>
      <c r="AH217" s="73" t="s">
        <v>434</v>
      </c>
      <c r="AI217" s="139" t="s">
        <v>435</v>
      </c>
      <c r="AJ217" s="238">
        <f t="shared" si="83"/>
        <v>0</v>
      </c>
      <c r="AK217" s="238"/>
      <c r="AL217" s="358" t="s">
        <v>434</v>
      </c>
      <c r="AM217" s="48">
        <v>43589.530000000013</v>
      </c>
      <c r="AN217" s="238" t="s">
        <v>434</v>
      </c>
      <c r="AO217" s="238">
        <v>41807.81</v>
      </c>
      <c r="AQ217" s="472">
        <f t="shared" si="84"/>
        <v>0</v>
      </c>
      <c r="AS217" t="s">
        <v>434</v>
      </c>
      <c r="AT217" t="s">
        <v>1800</v>
      </c>
      <c r="AU217" s="48">
        <v>31226.93</v>
      </c>
      <c r="AV217" s="48">
        <v>1269.8599999999999</v>
      </c>
      <c r="AW217" s="48">
        <v>0</v>
      </c>
      <c r="AX217" s="48">
        <v>0</v>
      </c>
      <c r="AY217" s="48">
        <v>4068.05</v>
      </c>
      <c r="AZ217" s="48">
        <v>1697.95</v>
      </c>
      <c r="BA217" s="48">
        <v>1317.96</v>
      </c>
      <c r="BB217" s="48">
        <v>0</v>
      </c>
      <c r="BC217" s="48">
        <v>120.25</v>
      </c>
      <c r="BD217" s="48">
        <v>2106.81</v>
      </c>
      <c r="BE217" s="48"/>
      <c r="BF217" s="48">
        <f t="shared" si="79"/>
        <v>41807.81</v>
      </c>
      <c r="BG217" s="48"/>
      <c r="BH217" s="48"/>
      <c r="BI217" s="48" t="str">
        <f t="shared" si="85"/>
        <v>21301</v>
      </c>
      <c r="BJ217" s="48">
        <f t="shared" si="86"/>
        <v>41807.81</v>
      </c>
      <c r="BK217" s="628">
        <f t="shared" si="87"/>
        <v>0</v>
      </c>
    </row>
    <row r="218" spans="1:63">
      <c r="A218" s="196">
        <v>211</v>
      </c>
      <c r="B218" s="73" t="s">
        <v>523</v>
      </c>
      <c r="C218" s="139" t="s">
        <v>524</v>
      </c>
      <c r="D218" s="168">
        <v>42057.5</v>
      </c>
      <c r="E218" s="170">
        <v>626601.04999999993</v>
      </c>
      <c r="F218" s="171">
        <f>+D218+E218</f>
        <v>668658.54999999993</v>
      </c>
      <c r="G218" s="181">
        <v>679779.57</v>
      </c>
      <c r="H218" s="178">
        <v>0</v>
      </c>
      <c r="I218" s="170">
        <v>833816.44</v>
      </c>
      <c r="J218" s="171">
        <f>+H218+I218</f>
        <v>833816.44</v>
      </c>
      <c r="K218" s="202">
        <v>1182434.5499999998</v>
      </c>
      <c r="L218" s="171">
        <v>0</v>
      </c>
      <c r="M218" s="197">
        <v>853308.49</v>
      </c>
      <c r="N218" s="171">
        <f t="shared" si="88"/>
        <v>853308.49</v>
      </c>
      <c r="O218" s="202">
        <v>1108539.1800000002</v>
      </c>
      <c r="P218" s="238">
        <v>0</v>
      </c>
      <c r="Q218" s="197">
        <v>963510.41999999993</v>
      </c>
      <c r="R218" s="171">
        <f t="shared" si="89"/>
        <v>963510.41999999993</v>
      </c>
      <c r="S218" s="202">
        <v>1117270.8700000003</v>
      </c>
      <c r="T218" s="238">
        <v>0</v>
      </c>
      <c r="U218" s="238">
        <v>964542.15</v>
      </c>
      <c r="V218" s="171">
        <f t="shared" si="90"/>
        <v>964542.15</v>
      </c>
      <c r="W218" s="56">
        <v>927173.37</v>
      </c>
      <c r="X218" s="568">
        <f t="shared" si="80"/>
        <v>37368.780000000028</v>
      </c>
      <c r="Y218" s="569">
        <v>1023323.01</v>
      </c>
      <c r="Z218" s="171">
        <f t="shared" si="91"/>
        <v>1060691.79</v>
      </c>
      <c r="AA218" s="48">
        <v>1060700</v>
      </c>
      <c r="AB218" s="238">
        <f t="shared" si="81"/>
        <v>0</v>
      </c>
      <c r="AC218" s="238">
        <v>992620.26000000013</v>
      </c>
      <c r="AD218" s="171">
        <f t="shared" si="92"/>
        <v>992620.26000000013</v>
      </c>
      <c r="AE218" s="238"/>
      <c r="AF218" s="238">
        <f t="shared" si="82"/>
        <v>0</v>
      </c>
      <c r="AG218" s="196">
        <v>210</v>
      </c>
      <c r="AH218" s="73" t="s">
        <v>523</v>
      </c>
      <c r="AI218" s="139" t="s">
        <v>524</v>
      </c>
      <c r="AJ218" s="238">
        <f t="shared" si="83"/>
        <v>0</v>
      </c>
      <c r="AK218" s="238"/>
      <c r="AL218" s="358" t="s">
        <v>523</v>
      </c>
      <c r="AM218" s="48">
        <v>1060700</v>
      </c>
      <c r="AN218" s="238" t="s">
        <v>523</v>
      </c>
      <c r="AO218" s="238">
        <v>992620.26000000013</v>
      </c>
      <c r="AQ218" s="472">
        <f t="shared" si="84"/>
        <v>0</v>
      </c>
      <c r="AS218" t="s">
        <v>523</v>
      </c>
      <c r="AT218" t="s">
        <v>1843</v>
      </c>
      <c r="AU218" s="48">
        <v>753427.28</v>
      </c>
      <c r="AV218" s="48">
        <v>52517.27</v>
      </c>
      <c r="AW218" s="48">
        <v>10740.01</v>
      </c>
      <c r="AX218" s="48">
        <v>0</v>
      </c>
      <c r="AY218" s="48">
        <v>128368.84</v>
      </c>
      <c r="AZ218" s="48">
        <v>21191.66</v>
      </c>
      <c r="BA218" s="48">
        <v>1619.64</v>
      </c>
      <c r="BB218" s="48">
        <v>6899.85</v>
      </c>
      <c r="BC218" s="48">
        <v>4302.92</v>
      </c>
      <c r="BD218" s="48">
        <v>13552.79</v>
      </c>
      <c r="BE218" s="48"/>
      <c r="BF218" s="48">
        <f t="shared" si="79"/>
        <v>992620.26000000013</v>
      </c>
      <c r="BG218" s="48"/>
      <c r="BH218" s="48"/>
      <c r="BI218" s="48" t="str">
        <f t="shared" si="85"/>
        <v>27401</v>
      </c>
      <c r="BJ218" s="48">
        <f t="shared" si="86"/>
        <v>992620.26000000013</v>
      </c>
      <c r="BK218" s="628">
        <f t="shared" si="87"/>
        <v>0</v>
      </c>
    </row>
    <row r="219" spans="1:63">
      <c r="A219" s="196">
        <v>212</v>
      </c>
      <c r="B219" s="199" t="s">
        <v>1655</v>
      </c>
      <c r="C219" s="73" t="s">
        <v>1637</v>
      </c>
      <c r="D219" s="168"/>
      <c r="E219" s="170"/>
      <c r="F219" s="171"/>
      <c r="G219" s="181"/>
      <c r="H219" s="178"/>
      <c r="I219" s="170"/>
      <c r="J219" s="171"/>
      <c r="K219" s="202"/>
      <c r="L219" s="171">
        <v>0</v>
      </c>
      <c r="M219" s="197">
        <v>9858.32</v>
      </c>
      <c r="N219" s="171">
        <f t="shared" si="88"/>
        <v>9858.32</v>
      </c>
      <c r="O219" s="202">
        <v>9858.32</v>
      </c>
      <c r="P219" s="238">
        <v>0</v>
      </c>
      <c r="Q219" s="197">
        <v>15600.060000000001</v>
      </c>
      <c r="R219" s="171">
        <f t="shared" si="89"/>
        <v>15600.060000000001</v>
      </c>
      <c r="S219" s="202">
        <v>0</v>
      </c>
      <c r="T219" s="238">
        <v>15600.060000000001</v>
      </c>
      <c r="U219" s="238">
        <v>30361.870000000003</v>
      </c>
      <c r="V219" s="171">
        <f t="shared" si="90"/>
        <v>45961.930000000008</v>
      </c>
      <c r="W219" s="56">
        <v>54405.760000000002</v>
      </c>
      <c r="X219" s="568">
        <f t="shared" si="80"/>
        <v>0</v>
      </c>
      <c r="Y219" s="569">
        <v>31039.719999999998</v>
      </c>
      <c r="Z219" s="171">
        <f t="shared" si="91"/>
        <v>31039.719999999998</v>
      </c>
      <c r="AA219" s="48">
        <v>39617.370000000003</v>
      </c>
      <c r="AB219" s="238">
        <f t="shared" si="81"/>
        <v>0</v>
      </c>
      <c r="AC219" s="238">
        <v>32074.65</v>
      </c>
      <c r="AD219" s="171">
        <f t="shared" si="92"/>
        <v>32074.65</v>
      </c>
      <c r="AE219" s="238"/>
      <c r="AF219" s="238">
        <f t="shared" si="82"/>
        <v>0</v>
      </c>
      <c r="AG219" s="196">
        <v>211</v>
      </c>
      <c r="AH219" s="199" t="s">
        <v>1655</v>
      </c>
      <c r="AI219" s="73" t="s">
        <v>1637</v>
      </c>
      <c r="AJ219" s="238">
        <f t="shared" si="83"/>
        <v>0</v>
      </c>
      <c r="AK219" s="238"/>
      <c r="AL219" s="358" t="s">
        <v>1655</v>
      </c>
      <c r="AM219" s="48">
        <v>39617.370000000003</v>
      </c>
      <c r="AN219" s="238" t="s">
        <v>1655</v>
      </c>
      <c r="AO219" s="238">
        <v>32074.65</v>
      </c>
      <c r="AQ219" s="472">
        <f t="shared" si="84"/>
        <v>0</v>
      </c>
      <c r="AS219" t="s">
        <v>1655</v>
      </c>
      <c r="AT219" t="s">
        <v>1958</v>
      </c>
      <c r="AU219" s="48">
        <v>24250.74</v>
      </c>
      <c r="AV219" s="48">
        <v>0</v>
      </c>
      <c r="AW219" s="48">
        <v>311.43</v>
      </c>
      <c r="AX219" s="48">
        <v>0</v>
      </c>
      <c r="AY219" s="48">
        <v>5142.91</v>
      </c>
      <c r="AZ219" s="48">
        <v>1197.8900000000001</v>
      </c>
      <c r="BA219" s="48">
        <v>0</v>
      </c>
      <c r="BB219" s="48">
        <v>1079.18</v>
      </c>
      <c r="BC219" s="48">
        <v>92.5</v>
      </c>
      <c r="BD219" s="48">
        <v>0</v>
      </c>
      <c r="BE219" s="48"/>
      <c r="BF219" s="48">
        <f t="shared" si="79"/>
        <v>32074.65</v>
      </c>
      <c r="BG219" s="48"/>
      <c r="BH219" s="48"/>
      <c r="BI219" s="48" t="str">
        <f t="shared" si="85"/>
        <v>04901</v>
      </c>
      <c r="BJ219" s="48">
        <f t="shared" si="86"/>
        <v>32074.65</v>
      </c>
      <c r="BK219" s="628">
        <f t="shared" si="87"/>
        <v>0</v>
      </c>
    </row>
    <row r="220" spans="1:63">
      <c r="A220" s="196">
        <v>213</v>
      </c>
      <c r="B220" s="73" t="s">
        <v>466</v>
      </c>
      <c r="C220" s="139" t="s">
        <v>467</v>
      </c>
      <c r="D220" s="168">
        <v>0</v>
      </c>
      <c r="E220" s="170">
        <v>50545.82</v>
      </c>
      <c r="F220" s="171">
        <f t="shared" ref="F220:F247" si="93">+D220+E220</f>
        <v>50545.82</v>
      </c>
      <c r="G220" s="181">
        <v>56633.79</v>
      </c>
      <c r="H220" s="178">
        <v>0</v>
      </c>
      <c r="I220" s="170">
        <v>66661.820000000007</v>
      </c>
      <c r="J220" s="171">
        <f t="shared" ref="J220:J247" si="94">+H220+I220</f>
        <v>66661.820000000007</v>
      </c>
      <c r="K220" s="202">
        <v>55370.07</v>
      </c>
      <c r="L220" s="171">
        <v>11291.750000000007</v>
      </c>
      <c r="M220" s="197">
        <v>64762.319999999992</v>
      </c>
      <c r="N220" s="171">
        <f t="shared" si="88"/>
        <v>76054.070000000007</v>
      </c>
      <c r="O220" s="202">
        <v>79879.06</v>
      </c>
      <c r="P220" s="238">
        <v>0</v>
      </c>
      <c r="Q220" s="197">
        <v>80305.460000000006</v>
      </c>
      <c r="R220" s="171">
        <f t="shared" si="89"/>
        <v>80305.460000000006</v>
      </c>
      <c r="S220" s="202">
        <v>125220.09999999999</v>
      </c>
      <c r="T220" s="238">
        <v>0</v>
      </c>
      <c r="U220" s="238">
        <v>90595.66</v>
      </c>
      <c r="V220" s="171">
        <f t="shared" si="90"/>
        <v>90595.66</v>
      </c>
      <c r="W220" s="56">
        <v>99008.640000000014</v>
      </c>
      <c r="X220" s="568">
        <f t="shared" si="80"/>
        <v>0</v>
      </c>
      <c r="Y220" s="569">
        <v>94488.190000000017</v>
      </c>
      <c r="Z220" s="171">
        <f t="shared" si="91"/>
        <v>94488.190000000017</v>
      </c>
      <c r="AA220" s="48">
        <v>88862.25</v>
      </c>
      <c r="AB220" s="238">
        <f t="shared" si="81"/>
        <v>5625.9400000000169</v>
      </c>
      <c r="AC220" s="238">
        <v>100516.09</v>
      </c>
      <c r="AD220" s="171">
        <f t="shared" si="92"/>
        <v>106142.03000000001</v>
      </c>
      <c r="AE220" s="238"/>
      <c r="AF220" s="238">
        <f t="shared" si="82"/>
        <v>0</v>
      </c>
      <c r="AG220" s="196">
        <v>212</v>
      </c>
      <c r="AH220" s="73" t="s">
        <v>466</v>
      </c>
      <c r="AI220" s="139" t="s">
        <v>467</v>
      </c>
      <c r="AJ220" s="238">
        <f t="shared" si="83"/>
        <v>0</v>
      </c>
      <c r="AK220" s="238"/>
      <c r="AL220" s="358" t="s">
        <v>466</v>
      </c>
      <c r="AM220" s="48">
        <v>88862.25</v>
      </c>
      <c r="AN220" s="238" t="s">
        <v>466</v>
      </c>
      <c r="AO220" s="238">
        <v>100516.09</v>
      </c>
      <c r="AQ220" s="472">
        <f t="shared" si="84"/>
        <v>0</v>
      </c>
      <c r="AS220" t="s">
        <v>466</v>
      </c>
      <c r="AT220" t="s">
        <v>1816</v>
      </c>
      <c r="AU220" s="48">
        <v>72239.31</v>
      </c>
      <c r="AV220" s="48">
        <v>0</v>
      </c>
      <c r="AW220" s="48">
        <v>0</v>
      </c>
      <c r="AX220" s="48">
        <v>0</v>
      </c>
      <c r="AY220" s="48">
        <v>18432.43</v>
      </c>
      <c r="AZ220" s="48">
        <v>4596.9799999999996</v>
      </c>
      <c r="BA220" s="48">
        <v>3454.67</v>
      </c>
      <c r="BB220" s="48">
        <v>1442.99</v>
      </c>
      <c r="BC220" s="48">
        <v>349.71</v>
      </c>
      <c r="BD220" s="48">
        <v>0</v>
      </c>
      <c r="BE220" s="48"/>
      <c r="BF220" s="48">
        <f t="shared" si="79"/>
        <v>100516.09</v>
      </c>
      <c r="BG220" s="48"/>
      <c r="BH220" s="48"/>
      <c r="BI220" s="48" t="str">
        <f t="shared" si="85"/>
        <v>23402</v>
      </c>
      <c r="BJ220" s="48">
        <f t="shared" si="86"/>
        <v>100516.09</v>
      </c>
      <c r="BK220" s="628">
        <f t="shared" si="87"/>
        <v>0</v>
      </c>
    </row>
    <row r="221" spans="1:63">
      <c r="A221" s="196">
        <v>214</v>
      </c>
      <c r="B221" s="73" t="s">
        <v>275</v>
      </c>
      <c r="C221" s="139" t="s">
        <v>276</v>
      </c>
      <c r="D221" s="168">
        <v>4482.88</v>
      </c>
      <c r="E221" s="170">
        <v>25294.760000000002</v>
      </c>
      <c r="F221" s="171">
        <f t="shared" si="93"/>
        <v>29777.640000000003</v>
      </c>
      <c r="G221" s="181">
        <v>20335.900000000001</v>
      </c>
      <c r="H221" s="178">
        <v>9441.7400000000016</v>
      </c>
      <c r="I221" s="170">
        <v>37101.89</v>
      </c>
      <c r="J221" s="171">
        <f t="shared" si="94"/>
        <v>46543.630000000005</v>
      </c>
      <c r="K221" s="202">
        <v>44537.179999999993</v>
      </c>
      <c r="L221" s="171">
        <v>2006.4500000000116</v>
      </c>
      <c r="M221" s="197">
        <v>43127.740000000005</v>
      </c>
      <c r="N221" s="171">
        <f t="shared" si="88"/>
        <v>45134.190000000017</v>
      </c>
      <c r="O221" s="202">
        <v>47170.13</v>
      </c>
      <c r="P221" s="238">
        <v>0</v>
      </c>
      <c r="Q221" s="197">
        <v>45546.78</v>
      </c>
      <c r="R221" s="171">
        <f t="shared" si="89"/>
        <v>45546.78</v>
      </c>
      <c r="S221" s="202">
        <v>50650.74</v>
      </c>
      <c r="T221" s="238">
        <v>0</v>
      </c>
      <c r="U221" s="238">
        <v>42904.03</v>
      </c>
      <c r="V221" s="171">
        <f t="shared" si="90"/>
        <v>42904.03</v>
      </c>
      <c r="W221" s="56">
        <v>50827.15</v>
      </c>
      <c r="X221" s="568">
        <f t="shared" si="80"/>
        <v>0</v>
      </c>
      <c r="Y221" s="569">
        <v>46831.49</v>
      </c>
      <c r="Z221" s="171">
        <f t="shared" si="91"/>
        <v>46831.49</v>
      </c>
      <c r="AA221" s="48">
        <v>49404.52</v>
      </c>
      <c r="AB221" s="238">
        <f t="shared" si="81"/>
        <v>0</v>
      </c>
      <c r="AC221" s="238">
        <v>48946.229999999996</v>
      </c>
      <c r="AD221" s="171">
        <f t="shared" si="92"/>
        <v>48946.229999999996</v>
      </c>
      <c r="AE221" s="238"/>
      <c r="AF221" s="238">
        <f t="shared" si="82"/>
        <v>0</v>
      </c>
      <c r="AG221" s="196">
        <v>213</v>
      </c>
      <c r="AH221" s="73" t="s">
        <v>275</v>
      </c>
      <c r="AI221" s="139" t="s">
        <v>276</v>
      </c>
      <c r="AJ221" s="238">
        <f t="shared" si="83"/>
        <v>0</v>
      </c>
      <c r="AK221" s="238"/>
      <c r="AL221" s="358" t="s">
        <v>275</v>
      </c>
      <c r="AM221" s="48">
        <v>49404.52</v>
      </c>
      <c r="AN221" s="238" t="s">
        <v>275</v>
      </c>
      <c r="AO221" s="238">
        <v>48946.229999999996</v>
      </c>
      <c r="AQ221" s="472">
        <f t="shared" si="84"/>
        <v>0</v>
      </c>
      <c r="AS221" t="s">
        <v>275</v>
      </c>
      <c r="AT221" t="s">
        <v>1717</v>
      </c>
      <c r="AU221" s="48">
        <v>33596.44</v>
      </c>
      <c r="AV221" s="48">
        <v>3120.38</v>
      </c>
      <c r="AW221" s="48">
        <v>1187.0999999999999</v>
      </c>
      <c r="AX221" s="48">
        <v>0</v>
      </c>
      <c r="AY221" s="48">
        <v>5777.46</v>
      </c>
      <c r="AZ221" s="48">
        <v>1702.03</v>
      </c>
      <c r="BA221" s="48">
        <v>621.29</v>
      </c>
      <c r="BB221" s="48">
        <v>0</v>
      </c>
      <c r="BC221" s="48">
        <v>148</v>
      </c>
      <c r="BD221" s="48">
        <v>2793.53</v>
      </c>
      <c r="BE221" s="48"/>
      <c r="BF221" s="48">
        <f t="shared" si="79"/>
        <v>48946.229999999996</v>
      </c>
      <c r="BG221" s="48"/>
      <c r="BH221" s="48"/>
      <c r="BI221" s="48" t="str">
        <f t="shared" si="85"/>
        <v>12110</v>
      </c>
      <c r="BJ221" s="48">
        <f t="shared" si="86"/>
        <v>48946.229999999996</v>
      </c>
      <c r="BK221" s="628">
        <f t="shared" si="87"/>
        <v>0</v>
      </c>
    </row>
    <row r="222" spans="1:63">
      <c r="A222" s="196">
        <v>215</v>
      </c>
      <c r="B222" s="73" t="s">
        <v>203</v>
      </c>
      <c r="C222" s="139" t="s">
        <v>204</v>
      </c>
      <c r="D222" s="168">
        <v>10422.48000000004</v>
      </c>
      <c r="E222" s="170">
        <v>243092.85</v>
      </c>
      <c r="F222" s="171">
        <f t="shared" si="93"/>
        <v>253515.33000000005</v>
      </c>
      <c r="G222" s="181">
        <v>234508.43</v>
      </c>
      <c r="H222" s="178">
        <v>19006.900000000052</v>
      </c>
      <c r="I222" s="170">
        <v>268713.71000000002</v>
      </c>
      <c r="J222" s="171">
        <f t="shared" si="94"/>
        <v>287720.6100000001</v>
      </c>
      <c r="K222" s="202">
        <v>359195.74000000005</v>
      </c>
      <c r="L222" s="171">
        <v>0</v>
      </c>
      <c r="M222" s="197">
        <v>311073.28000000003</v>
      </c>
      <c r="N222" s="171">
        <f t="shared" si="88"/>
        <v>311073.28000000003</v>
      </c>
      <c r="O222" s="202">
        <v>331370.3</v>
      </c>
      <c r="P222" s="238">
        <v>0</v>
      </c>
      <c r="Q222" s="197">
        <v>340297.31999999995</v>
      </c>
      <c r="R222" s="171">
        <f t="shared" si="89"/>
        <v>340297.31999999995</v>
      </c>
      <c r="S222" s="202">
        <v>358964.41</v>
      </c>
      <c r="T222" s="238">
        <v>0</v>
      </c>
      <c r="U222" s="238">
        <v>359240.30000000005</v>
      </c>
      <c r="V222" s="171">
        <f t="shared" si="90"/>
        <v>359240.30000000005</v>
      </c>
      <c r="W222" s="56">
        <v>359170.7100000002</v>
      </c>
      <c r="X222" s="568">
        <f t="shared" si="80"/>
        <v>69.589999999850988</v>
      </c>
      <c r="Y222" s="569">
        <v>374312.38999999996</v>
      </c>
      <c r="Z222" s="171">
        <f t="shared" si="91"/>
        <v>374381.97999999981</v>
      </c>
      <c r="AA222" s="48">
        <v>377956.84999999992</v>
      </c>
      <c r="AB222" s="238">
        <f t="shared" si="81"/>
        <v>0</v>
      </c>
      <c r="AC222" s="238">
        <v>371142.66</v>
      </c>
      <c r="AD222" s="171">
        <f t="shared" si="92"/>
        <v>371142.66</v>
      </c>
      <c r="AE222" s="238"/>
      <c r="AF222" s="238">
        <f t="shared" si="82"/>
        <v>0</v>
      </c>
      <c r="AG222" s="196">
        <v>214</v>
      </c>
      <c r="AH222" s="73" t="s">
        <v>203</v>
      </c>
      <c r="AI222" s="139" t="s">
        <v>204</v>
      </c>
      <c r="AJ222" s="238">
        <f t="shared" si="83"/>
        <v>0</v>
      </c>
      <c r="AK222" s="238"/>
      <c r="AL222" s="358" t="s">
        <v>203</v>
      </c>
      <c r="AM222" s="48">
        <v>377956.84999999992</v>
      </c>
      <c r="AN222" s="238" t="s">
        <v>203</v>
      </c>
      <c r="AO222" s="238">
        <v>371142.66</v>
      </c>
      <c r="AQ222" s="472">
        <f t="shared" si="84"/>
        <v>0</v>
      </c>
      <c r="AS222" t="s">
        <v>203</v>
      </c>
      <c r="AT222" t="s">
        <v>1679</v>
      </c>
      <c r="AU222" s="48">
        <v>236764.19</v>
      </c>
      <c r="AV222" s="48">
        <v>21727.06</v>
      </c>
      <c r="AW222" s="48">
        <v>6727.68</v>
      </c>
      <c r="AX222" s="48">
        <v>0</v>
      </c>
      <c r="AY222" s="48">
        <v>64587.64</v>
      </c>
      <c r="AZ222" s="48">
        <v>18441.79</v>
      </c>
      <c r="BA222" s="48">
        <v>16073.63</v>
      </c>
      <c r="BB222" s="48">
        <v>1585.71</v>
      </c>
      <c r="BC222" s="48">
        <v>1529.6</v>
      </c>
      <c r="BD222" s="48">
        <v>3705.36</v>
      </c>
      <c r="BE222" s="48"/>
      <c r="BF222" s="48">
        <f t="shared" si="79"/>
        <v>371142.66</v>
      </c>
      <c r="BG222" s="48"/>
      <c r="BH222" s="48"/>
      <c r="BI222" s="48" t="str">
        <f t="shared" si="85"/>
        <v>05121</v>
      </c>
      <c r="BJ222" s="48">
        <f t="shared" si="86"/>
        <v>371142.66</v>
      </c>
      <c r="BK222" s="628">
        <f t="shared" si="87"/>
        <v>0</v>
      </c>
    </row>
    <row r="223" spans="1:63">
      <c r="A223" s="196">
        <v>216</v>
      </c>
      <c r="B223" s="73" t="s">
        <v>336</v>
      </c>
      <c r="C223" s="139" t="s">
        <v>337</v>
      </c>
      <c r="D223" s="168">
        <v>5159.7599999999984</v>
      </c>
      <c r="E223" s="170">
        <v>79240.59</v>
      </c>
      <c r="F223" s="171">
        <f t="shared" si="93"/>
        <v>84400.349999999991</v>
      </c>
      <c r="G223" s="181">
        <v>66194.59</v>
      </c>
      <c r="H223" s="178">
        <v>18205.759999999995</v>
      </c>
      <c r="I223" s="170">
        <v>102028.40000000001</v>
      </c>
      <c r="J223" s="171">
        <f t="shared" si="94"/>
        <v>120234.16</v>
      </c>
      <c r="K223" s="202">
        <v>127105.77999999997</v>
      </c>
      <c r="L223" s="171">
        <v>0</v>
      </c>
      <c r="M223" s="197">
        <v>106156.07</v>
      </c>
      <c r="N223" s="171">
        <f t="shared" si="88"/>
        <v>106156.07</v>
      </c>
      <c r="O223" s="202">
        <v>140604.65999999997</v>
      </c>
      <c r="P223" s="238">
        <v>0</v>
      </c>
      <c r="Q223" s="197">
        <v>113597.25</v>
      </c>
      <c r="R223" s="171">
        <f t="shared" si="89"/>
        <v>113597.25</v>
      </c>
      <c r="S223" s="202">
        <v>149040.85</v>
      </c>
      <c r="T223" s="238">
        <v>0</v>
      </c>
      <c r="U223" s="238">
        <v>116448.63</v>
      </c>
      <c r="V223" s="171">
        <f t="shared" si="90"/>
        <v>116448.63</v>
      </c>
      <c r="W223" s="56">
        <v>135072.84999999992</v>
      </c>
      <c r="X223" s="568">
        <f t="shared" si="80"/>
        <v>0</v>
      </c>
      <c r="Y223" s="569">
        <v>137906.19</v>
      </c>
      <c r="Z223" s="171">
        <f t="shared" si="91"/>
        <v>137906.19</v>
      </c>
      <c r="AA223" s="48">
        <v>157125.11000000002</v>
      </c>
      <c r="AB223" s="238">
        <f t="shared" si="81"/>
        <v>0</v>
      </c>
      <c r="AC223" s="238">
        <v>136725.49</v>
      </c>
      <c r="AD223" s="171">
        <f t="shared" si="92"/>
        <v>136725.49</v>
      </c>
      <c r="AE223" s="238"/>
      <c r="AF223" s="238">
        <f t="shared" si="82"/>
        <v>0</v>
      </c>
      <c r="AG223" s="196">
        <v>215</v>
      </c>
      <c r="AH223" s="73" t="s">
        <v>336</v>
      </c>
      <c r="AI223" s="139" t="s">
        <v>337</v>
      </c>
      <c r="AJ223" s="238">
        <f t="shared" si="83"/>
        <v>0</v>
      </c>
      <c r="AK223" s="238"/>
      <c r="AL223" s="358" t="s">
        <v>336</v>
      </c>
      <c r="AM223" s="48">
        <v>157125.11000000002</v>
      </c>
      <c r="AN223" s="238" t="s">
        <v>336</v>
      </c>
      <c r="AO223" s="238">
        <v>136725.49</v>
      </c>
      <c r="AQ223" s="472">
        <f t="shared" si="84"/>
        <v>0</v>
      </c>
      <c r="AS223" t="s">
        <v>336</v>
      </c>
      <c r="AT223" t="s">
        <v>1748</v>
      </c>
      <c r="AU223" s="48">
        <v>96420.08</v>
      </c>
      <c r="AV223" s="48">
        <v>5404.54</v>
      </c>
      <c r="AW223" s="48">
        <v>1308.83</v>
      </c>
      <c r="AX223" s="48">
        <v>0</v>
      </c>
      <c r="AY223" s="48">
        <v>17442.330000000002</v>
      </c>
      <c r="AZ223" s="48">
        <v>7136.41</v>
      </c>
      <c r="BA223" s="48">
        <v>3360.13</v>
      </c>
      <c r="BB223" s="48">
        <v>1080.9000000000001</v>
      </c>
      <c r="BC223" s="48">
        <v>604.34</v>
      </c>
      <c r="BD223" s="48">
        <v>3967.93</v>
      </c>
      <c r="BE223" s="48"/>
      <c r="BF223" s="48">
        <f t="shared" si="79"/>
        <v>136725.49</v>
      </c>
      <c r="BG223" s="48"/>
      <c r="BH223" s="48"/>
      <c r="BI223" s="48" t="str">
        <f t="shared" si="85"/>
        <v>16050</v>
      </c>
      <c r="BJ223" s="48">
        <f t="shared" si="86"/>
        <v>136725.49</v>
      </c>
      <c r="BK223" s="628">
        <f t="shared" si="87"/>
        <v>0</v>
      </c>
    </row>
    <row r="224" spans="1:63">
      <c r="A224" s="196">
        <v>217</v>
      </c>
      <c r="B224" s="73" t="s">
        <v>669</v>
      </c>
      <c r="C224" s="139" t="s">
        <v>670</v>
      </c>
      <c r="D224" s="168">
        <v>0</v>
      </c>
      <c r="E224" s="170">
        <v>22509.59</v>
      </c>
      <c r="F224" s="171">
        <f t="shared" si="93"/>
        <v>22509.59</v>
      </c>
      <c r="G224" s="181">
        <v>25268.91</v>
      </c>
      <c r="H224" s="178">
        <v>0</v>
      </c>
      <c r="I224" s="170">
        <v>34534.93</v>
      </c>
      <c r="J224" s="171">
        <f t="shared" si="94"/>
        <v>34534.93</v>
      </c>
      <c r="K224" s="202">
        <v>36262.86</v>
      </c>
      <c r="L224" s="171">
        <v>0</v>
      </c>
      <c r="M224" s="197">
        <v>32807.31</v>
      </c>
      <c r="N224" s="171">
        <f t="shared" si="88"/>
        <v>32807.31</v>
      </c>
      <c r="O224" s="202"/>
      <c r="P224" s="238">
        <v>32807.31</v>
      </c>
      <c r="Q224" s="197">
        <v>35126.020000000004</v>
      </c>
      <c r="R224" s="171">
        <f t="shared" si="89"/>
        <v>67933.33</v>
      </c>
      <c r="S224" s="202">
        <v>28463.3</v>
      </c>
      <c r="T224" s="238">
        <v>39470.03</v>
      </c>
      <c r="U224" s="238">
        <v>39658.179999999993</v>
      </c>
      <c r="V224" s="171">
        <f t="shared" si="90"/>
        <v>79128.209999999992</v>
      </c>
      <c r="W224" s="56">
        <v>18156.759999999998</v>
      </c>
      <c r="X224" s="568">
        <f t="shared" si="80"/>
        <v>60971.45</v>
      </c>
      <c r="Y224" s="569">
        <v>42427.65</v>
      </c>
      <c r="Z224" s="171">
        <f t="shared" si="91"/>
        <v>103399.1</v>
      </c>
      <c r="AA224" s="48">
        <v>17420.589999999997</v>
      </c>
      <c r="AB224" s="238">
        <f t="shared" si="81"/>
        <v>85978.510000000009</v>
      </c>
      <c r="AC224" s="238">
        <v>39368.380000000005</v>
      </c>
      <c r="AD224" s="171">
        <f t="shared" si="92"/>
        <v>125346.89000000001</v>
      </c>
      <c r="AE224" s="238"/>
      <c r="AF224" s="238">
        <f t="shared" si="82"/>
        <v>0</v>
      </c>
      <c r="AG224" s="196">
        <v>216</v>
      </c>
      <c r="AH224" s="73" t="s">
        <v>669</v>
      </c>
      <c r="AI224" s="139" t="s">
        <v>670</v>
      </c>
      <c r="AJ224" s="238">
        <f t="shared" si="83"/>
        <v>0</v>
      </c>
      <c r="AK224" s="238"/>
      <c r="AL224" s="358" t="s">
        <v>669</v>
      </c>
      <c r="AM224" s="48">
        <v>17420.589999999997</v>
      </c>
      <c r="AN224" s="238" t="s">
        <v>669</v>
      </c>
      <c r="AO224" s="238">
        <v>39368.380000000005</v>
      </c>
      <c r="AQ224" s="472">
        <f t="shared" si="84"/>
        <v>0</v>
      </c>
      <c r="AS224" t="s">
        <v>669</v>
      </c>
      <c r="AT224" t="s">
        <v>1920</v>
      </c>
      <c r="AU224" s="48">
        <v>26871.61</v>
      </c>
      <c r="AV224" s="48">
        <v>1782.19</v>
      </c>
      <c r="AW224" s="48">
        <v>0</v>
      </c>
      <c r="AX224" s="48">
        <v>0</v>
      </c>
      <c r="AY224" s="48">
        <v>3490.24</v>
      </c>
      <c r="AZ224" s="48">
        <v>2223.12</v>
      </c>
      <c r="BA224" s="48">
        <v>1225.6400000000001</v>
      </c>
      <c r="BB224" s="48">
        <v>2209.23</v>
      </c>
      <c r="BC224" s="48">
        <v>0</v>
      </c>
      <c r="BD224" s="48">
        <v>1566.35</v>
      </c>
      <c r="BE224" s="48"/>
      <c r="BF224" s="48">
        <f t="shared" si="79"/>
        <v>39368.380000000005</v>
      </c>
      <c r="BG224" s="48"/>
      <c r="BH224" s="48"/>
      <c r="BI224" s="48" t="str">
        <f t="shared" si="85"/>
        <v>36402</v>
      </c>
      <c r="BJ224" s="48">
        <f t="shared" si="86"/>
        <v>39368.380000000005</v>
      </c>
      <c r="BK224" s="628">
        <f t="shared" si="87"/>
        <v>0</v>
      </c>
    </row>
    <row r="225" spans="1:63">
      <c r="A225" s="196">
        <v>218</v>
      </c>
      <c r="B225" s="73" t="s">
        <v>185</v>
      </c>
      <c r="C225" s="139" t="s">
        <v>186</v>
      </c>
      <c r="D225" s="168">
        <v>22544.600000000006</v>
      </c>
      <c r="E225" s="170">
        <v>173728.88</v>
      </c>
      <c r="F225" s="171">
        <f t="shared" si="93"/>
        <v>196273.48</v>
      </c>
      <c r="G225" s="181">
        <v>193007.64</v>
      </c>
      <c r="H225" s="178">
        <v>3265.8399999999965</v>
      </c>
      <c r="I225" s="170">
        <v>247801.90000000002</v>
      </c>
      <c r="J225" s="171">
        <f t="shared" si="94"/>
        <v>251067.74000000002</v>
      </c>
      <c r="K225" s="202">
        <v>70376.679999999993</v>
      </c>
      <c r="L225" s="171">
        <v>180691.06000000003</v>
      </c>
      <c r="M225" s="197">
        <v>244906.66000000003</v>
      </c>
      <c r="N225" s="171">
        <f t="shared" si="88"/>
        <v>425597.72000000009</v>
      </c>
      <c r="O225" s="202">
        <v>261496.01999999996</v>
      </c>
      <c r="P225" s="238">
        <v>164101.70000000013</v>
      </c>
      <c r="Q225" s="197">
        <v>253741.53</v>
      </c>
      <c r="R225" s="171">
        <f t="shared" si="89"/>
        <v>417843.2300000001</v>
      </c>
      <c r="S225" s="202">
        <v>232414.75</v>
      </c>
      <c r="T225" s="238">
        <v>185428.4800000001</v>
      </c>
      <c r="U225" s="238">
        <v>267575.62</v>
      </c>
      <c r="V225" s="171">
        <f t="shared" si="90"/>
        <v>453004.10000000009</v>
      </c>
      <c r="W225" s="56">
        <v>271581.08999999997</v>
      </c>
      <c r="X225" s="568">
        <f t="shared" si="80"/>
        <v>181423.01000000013</v>
      </c>
      <c r="Y225" s="569">
        <v>284907.08999999997</v>
      </c>
      <c r="Z225" s="171">
        <f t="shared" si="91"/>
        <v>466330.10000000009</v>
      </c>
      <c r="AA225" s="48">
        <v>526646.15999999992</v>
      </c>
      <c r="AB225" s="238">
        <f t="shared" si="81"/>
        <v>0</v>
      </c>
      <c r="AC225" s="238">
        <v>284774.09000000003</v>
      </c>
      <c r="AD225" s="171">
        <f t="shared" si="92"/>
        <v>284774.09000000003</v>
      </c>
      <c r="AE225" s="238"/>
      <c r="AF225" s="238">
        <f t="shared" si="82"/>
        <v>0</v>
      </c>
      <c r="AG225" s="196">
        <v>218</v>
      </c>
      <c r="AH225" s="73" t="s">
        <v>185</v>
      </c>
      <c r="AI225" s="139" t="s">
        <v>186</v>
      </c>
      <c r="AJ225" s="238">
        <f t="shared" si="83"/>
        <v>0</v>
      </c>
      <c r="AK225" s="238"/>
      <c r="AL225" s="358" t="s">
        <v>185</v>
      </c>
      <c r="AM225" s="48">
        <v>526646.15999999992</v>
      </c>
      <c r="AN225" s="238" t="s">
        <v>185</v>
      </c>
      <c r="AO225" s="238">
        <v>284774.09000000003</v>
      </c>
      <c r="AQ225" s="472">
        <f t="shared" si="84"/>
        <v>0</v>
      </c>
      <c r="AS225" t="s">
        <v>185</v>
      </c>
      <c r="AT225" t="s">
        <v>1670</v>
      </c>
      <c r="AU225" s="48">
        <v>180716.58</v>
      </c>
      <c r="AV225" s="48">
        <v>15682.04</v>
      </c>
      <c r="AW225" s="48">
        <v>1526.28</v>
      </c>
      <c r="AX225" s="48">
        <v>0</v>
      </c>
      <c r="AY225" s="48">
        <v>34009.42</v>
      </c>
      <c r="AZ225" s="48">
        <v>17502.77</v>
      </c>
      <c r="BA225" s="48">
        <v>11155.65</v>
      </c>
      <c r="BB225" s="48">
        <v>17100.39</v>
      </c>
      <c r="BC225" s="48">
        <v>1054.51</v>
      </c>
      <c r="BD225" s="48">
        <v>6026.45</v>
      </c>
      <c r="BE225" s="48"/>
      <c r="BF225" s="48">
        <f t="shared" si="79"/>
        <v>284774.09000000003</v>
      </c>
      <c r="BG225" s="48"/>
      <c r="BH225" s="48"/>
      <c r="BI225" s="48" t="str">
        <f t="shared" si="85"/>
        <v>03116</v>
      </c>
      <c r="BJ225" s="48">
        <f t="shared" si="86"/>
        <v>284774.09000000003</v>
      </c>
      <c r="BK225" s="628">
        <f t="shared" si="87"/>
        <v>0</v>
      </c>
    </row>
    <row r="226" spans="1:63">
      <c r="A226" s="196">
        <v>219</v>
      </c>
      <c r="B226" s="73" t="s">
        <v>691</v>
      </c>
      <c r="C226" s="139" t="s">
        <v>692</v>
      </c>
      <c r="D226" s="168">
        <v>23184.139999999985</v>
      </c>
      <c r="E226" s="170">
        <v>163868.85000000003</v>
      </c>
      <c r="F226" s="171">
        <f t="shared" si="93"/>
        <v>187052.99000000002</v>
      </c>
      <c r="G226" s="181">
        <v>148391.54</v>
      </c>
      <c r="H226" s="178">
        <v>38661.450000000012</v>
      </c>
      <c r="I226" s="170">
        <v>230691.99</v>
      </c>
      <c r="J226" s="171">
        <f t="shared" si="94"/>
        <v>269353.44</v>
      </c>
      <c r="K226" s="202">
        <v>314440.83999999997</v>
      </c>
      <c r="L226" s="171">
        <v>0</v>
      </c>
      <c r="M226" s="197">
        <v>235284.93</v>
      </c>
      <c r="N226" s="171">
        <f t="shared" si="88"/>
        <v>235284.93</v>
      </c>
      <c r="O226" s="202">
        <v>235284.92999999996</v>
      </c>
      <c r="P226" s="238">
        <v>2.9103830456733704E-11</v>
      </c>
      <c r="Q226" s="197">
        <v>261813.53</v>
      </c>
      <c r="R226" s="171">
        <f t="shared" si="89"/>
        <v>261813.53000000003</v>
      </c>
      <c r="S226" s="202">
        <v>260753.72999999998</v>
      </c>
      <c r="T226" s="238">
        <v>1059.8000000000466</v>
      </c>
      <c r="U226" s="238">
        <v>268408.72000000003</v>
      </c>
      <c r="V226" s="171">
        <f t="shared" si="90"/>
        <v>269468.52000000008</v>
      </c>
      <c r="W226" s="56">
        <v>232110.18000000002</v>
      </c>
      <c r="X226" s="568">
        <f t="shared" si="80"/>
        <v>37358.340000000055</v>
      </c>
      <c r="Y226" s="569">
        <v>287973.44</v>
      </c>
      <c r="Z226" s="171">
        <f t="shared" si="91"/>
        <v>325331.78000000003</v>
      </c>
      <c r="AA226" s="48">
        <v>230173.56000000008</v>
      </c>
      <c r="AB226" s="238">
        <f t="shared" si="81"/>
        <v>95158.219999999943</v>
      </c>
      <c r="AC226" s="238">
        <v>295173.88</v>
      </c>
      <c r="AD226" s="171">
        <f t="shared" si="92"/>
        <v>390332.1</v>
      </c>
      <c r="AE226" s="238"/>
      <c r="AF226" s="238">
        <f t="shared" si="82"/>
        <v>0</v>
      </c>
      <c r="AG226" s="196">
        <v>219</v>
      </c>
      <c r="AH226" s="73" t="s">
        <v>691</v>
      </c>
      <c r="AI226" s="139" t="s">
        <v>692</v>
      </c>
      <c r="AJ226" s="238">
        <f t="shared" si="83"/>
        <v>0</v>
      </c>
      <c r="AK226" s="238"/>
      <c r="AL226" s="358" t="s">
        <v>691</v>
      </c>
      <c r="AM226" s="48">
        <v>230173.56000000008</v>
      </c>
      <c r="AN226" s="238" t="s">
        <v>691</v>
      </c>
      <c r="AO226" s="238">
        <v>295173.88</v>
      </c>
      <c r="AQ226" s="472">
        <f t="shared" si="84"/>
        <v>0</v>
      </c>
      <c r="AS226" t="s">
        <v>691</v>
      </c>
      <c r="AT226" t="s">
        <v>1932</v>
      </c>
      <c r="AU226" s="48">
        <v>217544.42</v>
      </c>
      <c r="AV226" s="48">
        <v>12424.46</v>
      </c>
      <c r="AW226" s="48">
        <v>3775.6</v>
      </c>
      <c r="AX226" s="48">
        <v>0</v>
      </c>
      <c r="AY226" s="48">
        <v>44927.19</v>
      </c>
      <c r="AZ226" s="48">
        <v>9573.8700000000008</v>
      </c>
      <c r="BA226" s="48">
        <v>1544.77</v>
      </c>
      <c r="BB226" s="48">
        <v>4191.8500000000004</v>
      </c>
      <c r="BC226" s="48">
        <v>1191.72</v>
      </c>
      <c r="BD226" s="48">
        <v>0</v>
      </c>
      <c r="BE226" s="48"/>
      <c r="BF226" s="48">
        <f t="shared" si="79"/>
        <v>295173.88</v>
      </c>
      <c r="BG226" s="48"/>
      <c r="BH226" s="48"/>
      <c r="BI226" s="48" t="str">
        <f t="shared" si="85"/>
        <v>38267</v>
      </c>
      <c r="BJ226" s="48">
        <f t="shared" si="86"/>
        <v>295173.88</v>
      </c>
      <c r="BK226" s="628">
        <f t="shared" si="87"/>
        <v>0</v>
      </c>
    </row>
    <row r="227" spans="1:63">
      <c r="A227" s="196">
        <v>220</v>
      </c>
      <c r="B227" s="73" t="s">
        <v>507</v>
      </c>
      <c r="C227" s="139" t="s">
        <v>508</v>
      </c>
      <c r="D227" s="168">
        <v>0</v>
      </c>
      <c r="E227" s="170">
        <v>1464208.4600000004</v>
      </c>
      <c r="F227" s="171">
        <f t="shared" si="93"/>
        <v>1464208.4600000004</v>
      </c>
      <c r="G227" s="181">
        <v>1364973.78</v>
      </c>
      <c r="H227" s="178">
        <v>99234.6800000004</v>
      </c>
      <c r="I227" s="170">
        <v>2048225.1</v>
      </c>
      <c r="J227" s="171">
        <f t="shared" si="94"/>
        <v>2147459.7800000003</v>
      </c>
      <c r="K227" s="202">
        <v>2267407.6100000003</v>
      </c>
      <c r="L227" s="171">
        <v>0</v>
      </c>
      <c r="M227" s="197">
        <v>2077041.7899999998</v>
      </c>
      <c r="N227" s="171">
        <f t="shared" si="88"/>
        <v>2077041.7899999998</v>
      </c>
      <c r="O227" s="202">
        <v>2156530.4500000002</v>
      </c>
      <c r="P227" s="238">
        <v>0</v>
      </c>
      <c r="Q227" s="197">
        <v>2310880.9299999997</v>
      </c>
      <c r="R227" s="171">
        <f t="shared" si="89"/>
        <v>2310880.9299999997</v>
      </c>
      <c r="S227" s="202">
        <v>2817845.48</v>
      </c>
      <c r="T227" s="238">
        <v>0</v>
      </c>
      <c r="U227" s="238">
        <v>2522581.4799999995</v>
      </c>
      <c r="V227" s="171">
        <f t="shared" si="90"/>
        <v>2522581.4799999995</v>
      </c>
      <c r="W227" s="56">
        <v>2936554.88</v>
      </c>
      <c r="X227" s="568">
        <f t="shared" si="80"/>
        <v>0</v>
      </c>
      <c r="Y227" s="569">
        <v>2689194.5799999996</v>
      </c>
      <c r="Z227" s="171">
        <f t="shared" si="91"/>
        <v>2689194.5799999996</v>
      </c>
      <c r="AA227" s="48">
        <v>2689194.73</v>
      </c>
      <c r="AB227" s="238">
        <f t="shared" si="81"/>
        <v>0</v>
      </c>
      <c r="AC227" s="238">
        <v>2658277.6199999996</v>
      </c>
      <c r="AD227" s="171">
        <f t="shared" si="92"/>
        <v>2658277.6199999996</v>
      </c>
      <c r="AE227" s="238"/>
      <c r="AF227" s="238">
        <f t="shared" si="82"/>
        <v>0</v>
      </c>
      <c r="AG227" s="196">
        <v>220</v>
      </c>
      <c r="AH227" s="73" t="s">
        <v>507</v>
      </c>
      <c r="AI227" s="139" t="s">
        <v>508</v>
      </c>
      <c r="AJ227" s="238">
        <f t="shared" si="83"/>
        <v>0</v>
      </c>
      <c r="AK227" s="238"/>
      <c r="AL227" s="358" t="s">
        <v>507</v>
      </c>
      <c r="AM227" s="48">
        <v>2689194.73</v>
      </c>
      <c r="AN227" s="238" t="s">
        <v>507</v>
      </c>
      <c r="AO227" s="238">
        <v>2658277.6199999996</v>
      </c>
      <c r="AQ227" s="472">
        <f t="shared" si="84"/>
        <v>0</v>
      </c>
      <c r="AS227" t="s">
        <v>507</v>
      </c>
      <c r="AT227" t="s">
        <v>1836</v>
      </c>
      <c r="AU227" s="48">
        <v>1959637.53</v>
      </c>
      <c r="AV227" s="48">
        <v>120740.51</v>
      </c>
      <c r="AW227" s="48">
        <v>38743.46</v>
      </c>
      <c r="AX227" s="48">
        <v>0</v>
      </c>
      <c r="AY227" s="48">
        <v>306306.81</v>
      </c>
      <c r="AZ227" s="48">
        <v>111383.58</v>
      </c>
      <c r="BA227" s="48">
        <v>18895.169999999998</v>
      </c>
      <c r="BB227" s="48">
        <v>65089.3</v>
      </c>
      <c r="BC227" s="48">
        <v>11413.42</v>
      </c>
      <c r="BD227" s="48">
        <v>26067.84</v>
      </c>
      <c r="BE227" s="48"/>
      <c r="BF227" s="48">
        <f t="shared" si="79"/>
        <v>2658277.6199999996</v>
      </c>
      <c r="BG227" s="48"/>
      <c r="BH227" s="48"/>
      <c r="BI227" s="48" t="str">
        <f t="shared" si="85"/>
        <v>27003</v>
      </c>
      <c r="BJ227" s="48">
        <f t="shared" si="86"/>
        <v>2658277.6199999996</v>
      </c>
      <c r="BK227" s="628">
        <f t="shared" si="87"/>
        <v>0</v>
      </c>
    </row>
    <row r="228" spans="1:63">
      <c r="A228" s="196">
        <v>221</v>
      </c>
      <c r="B228" s="73" t="s">
        <v>328</v>
      </c>
      <c r="C228" s="139" t="s">
        <v>329</v>
      </c>
      <c r="D228" s="168">
        <v>1203.78</v>
      </c>
      <c r="E228" s="170">
        <v>3576.4500000000003</v>
      </c>
      <c r="F228" s="171">
        <f t="shared" si="93"/>
        <v>4780.2300000000005</v>
      </c>
      <c r="G228" s="181">
        <v>2841.28</v>
      </c>
      <c r="H228" s="178">
        <v>1938.9500000000003</v>
      </c>
      <c r="I228" s="170">
        <v>5793.67</v>
      </c>
      <c r="J228" s="171">
        <f t="shared" si="94"/>
        <v>7732.6200000000008</v>
      </c>
      <c r="K228" s="202">
        <v>4433.5600000000004</v>
      </c>
      <c r="L228" s="171">
        <v>3299.0600000000004</v>
      </c>
      <c r="M228" s="197">
        <v>5075.88</v>
      </c>
      <c r="N228" s="171">
        <f t="shared" si="88"/>
        <v>8374.94</v>
      </c>
      <c r="O228" s="202">
        <v>4477.78</v>
      </c>
      <c r="P228" s="238">
        <v>3897.1600000000008</v>
      </c>
      <c r="Q228" s="197">
        <v>6619.01</v>
      </c>
      <c r="R228" s="171">
        <f t="shared" si="89"/>
        <v>10516.170000000002</v>
      </c>
      <c r="S228" s="202">
        <v>3655.2</v>
      </c>
      <c r="T228" s="238">
        <v>6860.9700000000021</v>
      </c>
      <c r="U228" s="238">
        <v>6812.62</v>
      </c>
      <c r="V228" s="171">
        <f t="shared" si="90"/>
        <v>13673.590000000002</v>
      </c>
      <c r="W228" s="56">
        <v>6193.46</v>
      </c>
      <c r="X228" s="568">
        <f t="shared" si="80"/>
        <v>7480.1300000000019</v>
      </c>
      <c r="Y228" s="569">
        <v>6703.9</v>
      </c>
      <c r="Z228" s="171">
        <f t="shared" si="91"/>
        <v>14184.030000000002</v>
      </c>
      <c r="AA228" s="48"/>
      <c r="AB228" s="238">
        <f t="shared" si="81"/>
        <v>14184.030000000002</v>
      </c>
      <c r="AC228" s="238">
        <v>6739.86</v>
      </c>
      <c r="AD228" s="171">
        <f t="shared" si="92"/>
        <v>20923.890000000003</v>
      </c>
      <c r="AE228" s="238"/>
      <c r="AF228" s="238">
        <f t="shared" si="82"/>
        <v>0</v>
      </c>
      <c r="AG228" s="196">
        <v>221</v>
      </c>
      <c r="AH228" s="73" t="s">
        <v>328</v>
      </c>
      <c r="AI228" s="139" t="s">
        <v>329</v>
      </c>
      <c r="AJ228" s="238">
        <f t="shared" si="83"/>
        <v>0</v>
      </c>
      <c r="AK228" s="238"/>
      <c r="AL228" s="73" t="s">
        <v>328</v>
      </c>
      <c r="AM228" s="48"/>
      <c r="AN228" s="238" t="s">
        <v>328</v>
      </c>
      <c r="AO228" s="238">
        <v>6739.86</v>
      </c>
      <c r="AQ228" s="472">
        <f t="shared" si="84"/>
        <v>0</v>
      </c>
      <c r="AS228" t="s">
        <v>328</v>
      </c>
      <c r="AT228" t="s">
        <v>1744</v>
      </c>
      <c r="AU228" s="48">
        <v>5751.23</v>
      </c>
      <c r="AV228" s="48">
        <v>0</v>
      </c>
      <c r="AW228" s="48">
        <v>0</v>
      </c>
      <c r="AX228" s="48">
        <v>0</v>
      </c>
      <c r="AY228" s="48">
        <v>514.03</v>
      </c>
      <c r="AZ228" s="48">
        <v>299.83</v>
      </c>
      <c r="BA228" s="48">
        <v>174.77</v>
      </c>
      <c r="BB228" s="48">
        <v>0</v>
      </c>
      <c r="BC228" s="48">
        <v>0</v>
      </c>
      <c r="BD228" s="48">
        <v>0</v>
      </c>
      <c r="BE228" s="48"/>
      <c r="BF228" s="48">
        <f t="shared" si="79"/>
        <v>6739.86</v>
      </c>
      <c r="BG228" s="48"/>
      <c r="BH228" s="48"/>
      <c r="BI228" s="48" t="str">
        <f t="shared" si="85"/>
        <v>16020</v>
      </c>
      <c r="BJ228" s="48">
        <f t="shared" si="86"/>
        <v>6739.86</v>
      </c>
      <c r="BK228" s="628">
        <f t="shared" si="87"/>
        <v>0</v>
      </c>
    </row>
    <row r="229" spans="1:63">
      <c r="A229" s="196">
        <v>222</v>
      </c>
      <c r="B229" s="73" t="s">
        <v>332</v>
      </c>
      <c r="C229" s="139" t="s">
        <v>333</v>
      </c>
      <c r="D229" s="168">
        <v>0</v>
      </c>
      <c r="E229" s="170">
        <v>20202.800000000003</v>
      </c>
      <c r="F229" s="171">
        <f t="shared" si="93"/>
        <v>20202.800000000003</v>
      </c>
      <c r="G229" s="181">
        <v>33163.360000000001</v>
      </c>
      <c r="H229" s="178">
        <v>0</v>
      </c>
      <c r="I229" s="170">
        <v>30395.58</v>
      </c>
      <c r="J229" s="171">
        <f t="shared" si="94"/>
        <v>30395.58</v>
      </c>
      <c r="K229" s="202">
        <v>53080.780000000006</v>
      </c>
      <c r="L229" s="171">
        <v>0</v>
      </c>
      <c r="M229" s="197">
        <v>30843.710000000003</v>
      </c>
      <c r="N229" s="171">
        <f t="shared" si="88"/>
        <v>30843.710000000003</v>
      </c>
      <c r="O229" s="202">
        <v>62855.490000000005</v>
      </c>
      <c r="P229" s="238">
        <v>0</v>
      </c>
      <c r="Q229" s="197">
        <v>32679.95</v>
      </c>
      <c r="R229" s="171">
        <f t="shared" si="89"/>
        <v>32679.95</v>
      </c>
      <c r="S229" s="202">
        <v>67305.26999999999</v>
      </c>
      <c r="T229" s="238">
        <v>0</v>
      </c>
      <c r="U229" s="238">
        <v>35155.930000000008</v>
      </c>
      <c r="V229" s="171">
        <f t="shared" si="90"/>
        <v>35155.930000000008</v>
      </c>
      <c r="W229" s="56">
        <v>60268.989999999991</v>
      </c>
      <c r="X229" s="568">
        <f t="shared" si="80"/>
        <v>0</v>
      </c>
      <c r="Y229" s="569">
        <v>38291.550000000003</v>
      </c>
      <c r="Z229" s="171">
        <f t="shared" si="91"/>
        <v>38291.550000000003</v>
      </c>
      <c r="AA229" s="48">
        <v>65999.489999999991</v>
      </c>
      <c r="AB229" s="238">
        <f t="shared" si="81"/>
        <v>0</v>
      </c>
      <c r="AC229" s="238">
        <v>37635.000000000007</v>
      </c>
      <c r="AD229" s="171">
        <f t="shared" si="92"/>
        <v>37635.000000000007</v>
      </c>
      <c r="AE229" s="238"/>
      <c r="AF229" s="238">
        <f t="shared" si="82"/>
        <v>0</v>
      </c>
      <c r="AG229" s="196">
        <v>222</v>
      </c>
      <c r="AH229" s="73" t="s">
        <v>332</v>
      </c>
      <c r="AI229" s="139" t="s">
        <v>333</v>
      </c>
      <c r="AJ229" s="238">
        <f t="shared" si="83"/>
        <v>0</v>
      </c>
      <c r="AK229" s="238"/>
      <c r="AL229" s="358" t="s">
        <v>332</v>
      </c>
      <c r="AM229" s="48">
        <v>65999.489999999991</v>
      </c>
      <c r="AN229" s="238" t="s">
        <v>332</v>
      </c>
      <c r="AO229" s="238">
        <v>37635.000000000007</v>
      </c>
      <c r="AQ229" s="472">
        <f t="shared" si="84"/>
        <v>0</v>
      </c>
      <c r="AS229" t="s">
        <v>332</v>
      </c>
      <c r="AT229" t="s">
        <v>1746</v>
      </c>
      <c r="AU229" s="48">
        <v>24478.51</v>
      </c>
      <c r="AV229" s="48">
        <v>730.49</v>
      </c>
      <c r="AW229" s="48">
        <v>516.4</v>
      </c>
      <c r="AX229" s="48">
        <v>0</v>
      </c>
      <c r="AY229" s="48">
        <v>7369.82</v>
      </c>
      <c r="AZ229" s="48">
        <v>3276.55</v>
      </c>
      <c r="BA229" s="48">
        <v>954.37</v>
      </c>
      <c r="BB229" s="48">
        <v>0</v>
      </c>
      <c r="BC229" s="48">
        <v>308.86</v>
      </c>
      <c r="BD229" s="48">
        <v>0</v>
      </c>
      <c r="BE229" s="48"/>
      <c r="BF229" s="48">
        <f t="shared" si="79"/>
        <v>37635.000000000007</v>
      </c>
      <c r="BG229" s="48"/>
      <c r="BH229" s="48"/>
      <c r="BI229" s="48" t="str">
        <f t="shared" si="85"/>
        <v>16048</v>
      </c>
      <c r="BJ229" s="48">
        <f t="shared" si="86"/>
        <v>37635.000000000007</v>
      </c>
      <c r="BK229" s="628">
        <f t="shared" si="87"/>
        <v>0</v>
      </c>
    </row>
    <row r="230" spans="1:63">
      <c r="A230" s="196">
        <v>223</v>
      </c>
      <c r="B230" s="73" t="s">
        <v>1481</v>
      </c>
      <c r="C230" t="s">
        <v>1482</v>
      </c>
      <c r="D230" s="168">
        <v>6548.75</v>
      </c>
      <c r="E230" s="170">
        <v>14092.55</v>
      </c>
      <c r="F230" s="171">
        <f t="shared" si="93"/>
        <v>20641.3</v>
      </c>
      <c r="G230" s="181">
        <v>13180.88</v>
      </c>
      <c r="H230" s="178">
        <v>7460.42</v>
      </c>
      <c r="I230" s="170">
        <v>22352.440000000002</v>
      </c>
      <c r="J230" s="171">
        <f t="shared" si="94"/>
        <v>29812.86</v>
      </c>
      <c r="K230" s="202">
        <v>16811.510000000002</v>
      </c>
      <c r="L230" s="171">
        <v>13001.349999999999</v>
      </c>
      <c r="M230" s="197">
        <v>21596.58</v>
      </c>
      <c r="N230" s="171">
        <f t="shared" si="88"/>
        <v>34597.93</v>
      </c>
      <c r="O230" s="202">
        <v>38189.11</v>
      </c>
      <c r="P230" s="238">
        <v>0</v>
      </c>
      <c r="Q230" s="197">
        <v>24177.399999999998</v>
      </c>
      <c r="R230" s="171">
        <f t="shared" si="89"/>
        <v>24177.399999999998</v>
      </c>
      <c r="S230" s="202">
        <v>0</v>
      </c>
      <c r="T230" s="238">
        <v>24177.399999999998</v>
      </c>
      <c r="U230" s="238">
        <v>24260.579999999998</v>
      </c>
      <c r="V230" s="171">
        <f t="shared" si="90"/>
        <v>48437.979999999996</v>
      </c>
      <c r="W230" s="56"/>
      <c r="X230" s="568">
        <f t="shared" si="80"/>
        <v>48437.979999999996</v>
      </c>
      <c r="Y230" s="569">
        <v>24324.579999999998</v>
      </c>
      <c r="Z230" s="171">
        <f t="shared" si="91"/>
        <v>72762.559999999998</v>
      </c>
      <c r="AA230" s="48"/>
      <c r="AB230" s="238">
        <f t="shared" si="81"/>
        <v>72762.559999999998</v>
      </c>
      <c r="AC230" s="238">
        <v>25633.079999999998</v>
      </c>
      <c r="AD230" s="171">
        <f t="shared" si="92"/>
        <v>98395.64</v>
      </c>
      <c r="AE230" s="238"/>
      <c r="AF230" s="238">
        <f t="shared" si="82"/>
        <v>0</v>
      </c>
      <c r="AG230" s="196">
        <v>223</v>
      </c>
      <c r="AH230" s="73" t="s">
        <v>1481</v>
      </c>
      <c r="AI230" t="s">
        <v>1482</v>
      </c>
      <c r="AJ230" s="238">
        <f t="shared" si="83"/>
        <v>0</v>
      </c>
      <c r="AK230" s="238"/>
      <c r="AL230" s="73" t="s">
        <v>1481</v>
      </c>
      <c r="AM230" s="48"/>
      <c r="AN230" s="238" t="s">
        <v>1481</v>
      </c>
      <c r="AO230" s="238">
        <v>25633.079999999998</v>
      </c>
      <c r="AQ230" s="472">
        <f t="shared" si="84"/>
        <v>0</v>
      </c>
      <c r="AS230" t="s">
        <v>1481</v>
      </c>
      <c r="AT230" t="s">
        <v>1684</v>
      </c>
      <c r="AU230" s="48">
        <v>21252.16</v>
      </c>
      <c r="AV230" s="48">
        <v>246.67</v>
      </c>
      <c r="AW230" s="48">
        <v>223.55</v>
      </c>
      <c r="AX230" s="48">
        <v>0</v>
      </c>
      <c r="AY230" s="48">
        <v>2398.31</v>
      </c>
      <c r="AZ230" s="48">
        <v>1015.97</v>
      </c>
      <c r="BA230" s="48">
        <v>496.42</v>
      </c>
      <c r="BB230" s="48">
        <v>0</v>
      </c>
      <c r="BC230" s="48">
        <v>0</v>
      </c>
      <c r="BD230" s="48">
        <v>0</v>
      </c>
      <c r="BE230" s="48"/>
      <c r="BF230" s="48">
        <f t="shared" si="79"/>
        <v>25633.079999999998</v>
      </c>
      <c r="BG230" s="48"/>
      <c r="BH230" s="48"/>
      <c r="BI230" s="48" t="str">
        <f t="shared" si="85"/>
        <v>05903</v>
      </c>
      <c r="BJ230" s="48">
        <f t="shared" si="86"/>
        <v>25633.079999999998</v>
      </c>
      <c r="BK230" s="628">
        <f t="shared" si="87"/>
        <v>0</v>
      </c>
    </row>
    <row r="231" spans="1:63">
      <c r="A231" s="196">
        <v>224</v>
      </c>
      <c r="B231" s="73" t="s">
        <v>211</v>
      </c>
      <c r="C231" s="139" t="s">
        <v>212</v>
      </c>
      <c r="D231" s="168">
        <v>17040.119999999992</v>
      </c>
      <c r="E231" s="170">
        <v>90435.91</v>
      </c>
      <c r="F231" s="171">
        <f t="shared" si="93"/>
        <v>107476.03</v>
      </c>
      <c r="G231" s="181">
        <v>63210.81</v>
      </c>
      <c r="H231" s="178">
        <v>44265.22</v>
      </c>
      <c r="I231" s="170">
        <v>126099.90000000001</v>
      </c>
      <c r="J231" s="171">
        <f t="shared" si="94"/>
        <v>170365.12</v>
      </c>
      <c r="K231" s="202">
        <v>128630.28000000001</v>
      </c>
      <c r="L231" s="171">
        <v>41734.839999999982</v>
      </c>
      <c r="M231" s="197">
        <v>132832.11000000002</v>
      </c>
      <c r="N231" s="171">
        <f t="shared" si="88"/>
        <v>174566.95</v>
      </c>
      <c r="O231" s="202">
        <v>136522.77000000002</v>
      </c>
      <c r="P231" s="238">
        <v>38044.179999999993</v>
      </c>
      <c r="Q231" s="197">
        <v>151856.5</v>
      </c>
      <c r="R231" s="171">
        <f t="shared" si="89"/>
        <v>189900.68</v>
      </c>
      <c r="S231" s="202">
        <v>127982.61</v>
      </c>
      <c r="T231" s="238">
        <v>61918.069999999992</v>
      </c>
      <c r="U231" s="238">
        <v>160381.10999999999</v>
      </c>
      <c r="V231" s="171">
        <f t="shared" si="90"/>
        <v>222299.18</v>
      </c>
      <c r="W231" s="56">
        <v>126573.15000000002</v>
      </c>
      <c r="X231" s="568">
        <f t="shared" si="80"/>
        <v>95726.02999999997</v>
      </c>
      <c r="Y231" s="569">
        <v>180726.52000000002</v>
      </c>
      <c r="Z231" s="171">
        <f t="shared" si="91"/>
        <v>276452.55</v>
      </c>
      <c r="AA231" s="48">
        <v>131860.10999999999</v>
      </c>
      <c r="AB231" s="238">
        <f t="shared" si="81"/>
        <v>144592.44</v>
      </c>
      <c r="AC231" s="238">
        <v>201584.56000000006</v>
      </c>
      <c r="AD231" s="171">
        <f t="shared" si="92"/>
        <v>346177.00000000006</v>
      </c>
      <c r="AE231" s="238"/>
      <c r="AF231" s="238">
        <f t="shared" si="82"/>
        <v>0</v>
      </c>
      <c r="AG231" s="196">
        <v>224</v>
      </c>
      <c r="AH231" s="73" t="s">
        <v>211</v>
      </c>
      <c r="AI231" s="139" t="s">
        <v>212</v>
      </c>
      <c r="AJ231" s="238">
        <f t="shared" si="83"/>
        <v>0</v>
      </c>
      <c r="AK231" s="238"/>
      <c r="AL231" s="358" t="s">
        <v>211</v>
      </c>
      <c r="AM231" s="48">
        <v>131860.10999999999</v>
      </c>
      <c r="AN231" s="238" t="s">
        <v>211</v>
      </c>
      <c r="AO231" s="238">
        <v>201584.56000000006</v>
      </c>
      <c r="AQ231" s="472">
        <f t="shared" si="84"/>
        <v>0</v>
      </c>
      <c r="AS231" t="s">
        <v>211</v>
      </c>
      <c r="AT231" t="s">
        <v>1683</v>
      </c>
      <c r="AU231" s="48">
        <v>66607.05</v>
      </c>
      <c r="AV231" s="48">
        <v>2317.16</v>
      </c>
      <c r="AW231" s="48">
        <v>1048.3499999999999</v>
      </c>
      <c r="AX231" s="48">
        <v>0</v>
      </c>
      <c r="AY231" s="48">
        <v>72714.91</v>
      </c>
      <c r="AZ231" s="48">
        <v>27526.83</v>
      </c>
      <c r="BA231" s="48">
        <v>18073.2</v>
      </c>
      <c r="BB231" s="48">
        <v>9751.17</v>
      </c>
      <c r="BC231" s="48">
        <v>1706.65</v>
      </c>
      <c r="BD231" s="48">
        <v>1839.24</v>
      </c>
      <c r="BE231" s="48"/>
      <c r="BF231" s="48">
        <f t="shared" si="79"/>
        <v>201584.56000000006</v>
      </c>
      <c r="BG231" s="48"/>
      <c r="BH231" s="48"/>
      <c r="BI231" s="48" t="str">
        <f t="shared" si="85"/>
        <v>05402</v>
      </c>
      <c r="BJ231" s="48">
        <f t="shared" si="86"/>
        <v>201584.56000000006</v>
      </c>
      <c r="BK231" s="628">
        <f t="shared" si="87"/>
        <v>0</v>
      </c>
    </row>
    <row r="232" spans="1:63">
      <c r="A232" s="196">
        <v>225</v>
      </c>
      <c r="B232" s="73" t="s">
        <v>311</v>
      </c>
      <c r="C232" s="139" t="s">
        <v>1592</v>
      </c>
      <c r="D232" s="168">
        <v>0</v>
      </c>
      <c r="E232" s="170">
        <v>17641.41</v>
      </c>
      <c r="F232" s="171">
        <f t="shared" si="93"/>
        <v>17641.41</v>
      </c>
      <c r="G232" s="181">
        <v>17853.939999999999</v>
      </c>
      <c r="H232" s="178">
        <v>0</v>
      </c>
      <c r="I232" s="170">
        <v>25238.93</v>
      </c>
      <c r="J232" s="171">
        <f t="shared" si="94"/>
        <v>25238.93</v>
      </c>
      <c r="K232" s="202">
        <v>25238.93</v>
      </c>
      <c r="L232" s="171">
        <v>0</v>
      </c>
      <c r="M232" s="197">
        <v>25675.96</v>
      </c>
      <c r="N232" s="171">
        <f t="shared" si="88"/>
        <v>25675.96</v>
      </c>
      <c r="O232" s="202">
        <v>25935.91</v>
      </c>
      <c r="P232" s="238">
        <v>0</v>
      </c>
      <c r="Q232" s="197">
        <v>29572.48</v>
      </c>
      <c r="R232" s="171">
        <f t="shared" si="89"/>
        <v>29572.48</v>
      </c>
      <c r="S232" s="202">
        <v>29572.48</v>
      </c>
      <c r="T232" s="238">
        <v>0</v>
      </c>
      <c r="U232" s="238">
        <v>28969.87</v>
      </c>
      <c r="V232" s="171">
        <f t="shared" si="90"/>
        <v>28969.87</v>
      </c>
      <c r="W232" s="56">
        <v>28971.460000000003</v>
      </c>
      <c r="X232" s="568">
        <f t="shared" si="80"/>
        <v>0</v>
      </c>
      <c r="Y232" s="569">
        <v>29438.179999999997</v>
      </c>
      <c r="Z232" s="171">
        <f t="shared" si="91"/>
        <v>29438.179999999997</v>
      </c>
      <c r="AA232" s="48">
        <v>30774.690000000002</v>
      </c>
      <c r="AB232" s="238">
        <f t="shared" si="81"/>
        <v>0</v>
      </c>
      <c r="AC232" s="238">
        <v>29037.679999999997</v>
      </c>
      <c r="AD232" s="171">
        <f t="shared" si="92"/>
        <v>29037.679999999997</v>
      </c>
      <c r="AE232" s="238"/>
      <c r="AF232" s="238">
        <f t="shared" si="82"/>
        <v>0</v>
      </c>
      <c r="AG232" s="196">
        <v>225</v>
      </c>
      <c r="AH232" s="73" t="s">
        <v>311</v>
      </c>
      <c r="AI232" s="139" t="s">
        <v>1592</v>
      </c>
      <c r="AJ232" s="238">
        <f t="shared" si="83"/>
        <v>0</v>
      </c>
      <c r="AK232" s="238"/>
      <c r="AL232" s="358" t="s">
        <v>311</v>
      </c>
      <c r="AM232" s="48">
        <v>30774.690000000002</v>
      </c>
      <c r="AN232" s="238" t="s">
        <v>311</v>
      </c>
      <c r="AO232" s="238">
        <v>29037.679999999997</v>
      </c>
      <c r="AQ232" s="472">
        <f t="shared" si="84"/>
        <v>0</v>
      </c>
      <c r="AS232" t="s">
        <v>311</v>
      </c>
      <c r="AT232" t="s">
        <v>1735</v>
      </c>
      <c r="AU232" s="48">
        <v>24198.32</v>
      </c>
      <c r="AV232" s="48">
        <v>772.39</v>
      </c>
      <c r="AW232" s="48">
        <v>0</v>
      </c>
      <c r="AX232" s="48">
        <v>0</v>
      </c>
      <c r="AY232" s="48">
        <v>0</v>
      </c>
      <c r="AZ232" s="48">
        <v>2013.44</v>
      </c>
      <c r="BA232" s="48">
        <v>951.22</v>
      </c>
      <c r="BB232" s="48">
        <v>1012.89</v>
      </c>
      <c r="BC232" s="48">
        <v>89.42</v>
      </c>
      <c r="BD232" s="48">
        <v>0</v>
      </c>
      <c r="BE232" s="48"/>
      <c r="BF232" s="48">
        <f t="shared" si="79"/>
        <v>29037.679999999997</v>
      </c>
      <c r="BG232" s="48"/>
      <c r="BH232" s="48"/>
      <c r="BI232" s="48" t="str">
        <f t="shared" si="85"/>
        <v>14097</v>
      </c>
      <c r="BJ232" s="48">
        <f t="shared" si="86"/>
        <v>29037.679999999997</v>
      </c>
      <c r="BK232" s="628">
        <f t="shared" si="87"/>
        <v>0</v>
      </c>
    </row>
    <row r="233" spans="1:63">
      <c r="A233" s="196">
        <v>226</v>
      </c>
      <c r="B233" s="73" t="s">
        <v>279</v>
      </c>
      <c r="C233" s="139" t="s">
        <v>280</v>
      </c>
      <c r="D233" s="168">
        <v>14332.380000000005</v>
      </c>
      <c r="E233" s="170">
        <v>209062.31999999998</v>
      </c>
      <c r="F233" s="171">
        <f t="shared" si="93"/>
        <v>223394.69999999998</v>
      </c>
      <c r="G233" s="181">
        <v>200417.46</v>
      </c>
      <c r="H233" s="178">
        <v>22977.239999999991</v>
      </c>
      <c r="I233" s="170">
        <v>311167.95999999996</v>
      </c>
      <c r="J233" s="171">
        <f t="shared" si="94"/>
        <v>334145.19999999995</v>
      </c>
      <c r="K233" s="202">
        <v>317765.91000000003</v>
      </c>
      <c r="L233" s="171">
        <v>16379.289999999921</v>
      </c>
      <c r="M233" s="197">
        <v>330666.53000000003</v>
      </c>
      <c r="N233" s="171">
        <f t="shared" si="88"/>
        <v>347045.81999999995</v>
      </c>
      <c r="O233" s="202">
        <v>338124.85</v>
      </c>
      <c r="P233" s="238">
        <v>8920.9699999999721</v>
      </c>
      <c r="Q233" s="197">
        <v>358400.6</v>
      </c>
      <c r="R233" s="171">
        <f t="shared" si="89"/>
        <v>367321.56999999995</v>
      </c>
      <c r="S233" s="202">
        <v>367656.59</v>
      </c>
      <c r="T233" s="238">
        <v>0</v>
      </c>
      <c r="U233" s="238">
        <v>363643.15</v>
      </c>
      <c r="V233" s="171">
        <f t="shared" si="90"/>
        <v>363643.15</v>
      </c>
      <c r="W233" s="56">
        <v>372157.18</v>
      </c>
      <c r="X233" s="568">
        <f t="shared" si="80"/>
        <v>0</v>
      </c>
      <c r="Y233" s="569">
        <v>384300.47000000003</v>
      </c>
      <c r="Z233" s="171">
        <f t="shared" si="91"/>
        <v>384300.47000000003</v>
      </c>
      <c r="AA233" s="48">
        <v>376322.45999999996</v>
      </c>
      <c r="AB233" s="238">
        <f t="shared" si="81"/>
        <v>7978.0100000000675</v>
      </c>
      <c r="AC233" s="238">
        <v>389740.17999999993</v>
      </c>
      <c r="AD233" s="171">
        <f t="shared" si="92"/>
        <v>397718.19</v>
      </c>
      <c r="AE233" s="238"/>
      <c r="AF233" s="238">
        <f t="shared" si="82"/>
        <v>0</v>
      </c>
      <c r="AG233" s="196">
        <v>226</v>
      </c>
      <c r="AH233" s="73" t="s">
        <v>279</v>
      </c>
      <c r="AI233" s="139" t="s">
        <v>280</v>
      </c>
      <c r="AJ233" s="238">
        <f t="shared" si="83"/>
        <v>0</v>
      </c>
      <c r="AK233" s="238"/>
      <c r="AL233" s="358" t="s">
        <v>279</v>
      </c>
      <c r="AM233" s="48">
        <v>376322.45999999996</v>
      </c>
      <c r="AN233" s="238" t="s">
        <v>279</v>
      </c>
      <c r="AO233" s="238">
        <v>389740.17999999993</v>
      </c>
      <c r="AQ233" s="472">
        <f t="shared" si="84"/>
        <v>0</v>
      </c>
      <c r="AS233" t="s">
        <v>279</v>
      </c>
      <c r="AT233" t="s">
        <v>1719</v>
      </c>
      <c r="AU233" s="48">
        <v>233698.21</v>
      </c>
      <c r="AV233" s="48">
        <v>26352.06</v>
      </c>
      <c r="AW233" s="48">
        <v>5443.7</v>
      </c>
      <c r="AX233" s="48">
        <v>0</v>
      </c>
      <c r="AY233" s="48">
        <v>44214.12</v>
      </c>
      <c r="AZ233" s="48">
        <v>25780.1</v>
      </c>
      <c r="BA233" s="48">
        <v>14621.37</v>
      </c>
      <c r="BB233" s="48">
        <v>33249.57</v>
      </c>
      <c r="BC233" s="48">
        <v>1426.06</v>
      </c>
      <c r="BD233" s="48">
        <v>4954.99</v>
      </c>
      <c r="BE233" s="48"/>
      <c r="BF233" s="48">
        <f t="shared" si="79"/>
        <v>389740.17999999993</v>
      </c>
      <c r="BG233" s="48"/>
      <c r="BH233" s="48"/>
      <c r="BI233" s="48" t="str">
        <f t="shared" si="85"/>
        <v>13144</v>
      </c>
      <c r="BJ233" s="48">
        <f t="shared" si="86"/>
        <v>389740.17999999993</v>
      </c>
      <c r="BK233" s="628">
        <f t="shared" si="87"/>
        <v>0</v>
      </c>
    </row>
    <row r="234" spans="1:63">
      <c r="A234" s="196">
        <v>227</v>
      </c>
      <c r="B234" s="73" t="s">
        <v>648</v>
      </c>
      <c r="C234" s="139" t="s">
        <v>649</v>
      </c>
      <c r="D234" s="168">
        <v>1674.9500000000007</v>
      </c>
      <c r="E234" s="170">
        <v>56413.729999999996</v>
      </c>
      <c r="F234" s="171">
        <f t="shared" si="93"/>
        <v>58088.679999999993</v>
      </c>
      <c r="G234" s="181">
        <v>49413.32</v>
      </c>
      <c r="H234" s="178">
        <v>8675.3599999999933</v>
      </c>
      <c r="I234" s="170">
        <v>81492.94</v>
      </c>
      <c r="J234" s="171">
        <f t="shared" si="94"/>
        <v>90168.299999999988</v>
      </c>
      <c r="K234" s="202">
        <v>82966.819999999992</v>
      </c>
      <c r="L234" s="171">
        <v>7201.4799999999959</v>
      </c>
      <c r="M234" s="197">
        <v>82075.28</v>
      </c>
      <c r="N234" s="171">
        <f t="shared" si="88"/>
        <v>89276.76</v>
      </c>
      <c r="O234" s="202">
        <v>90466.61</v>
      </c>
      <c r="P234" s="238">
        <v>0</v>
      </c>
      <c r="Q234" s="197">
        <v>90243.96</v>
      </c>
      <c r="R234" s="171">
        <f t="shared" si="89"/>
        <v>90243.96</v>
      </c>
      <c r="S234" s="202">
        <v>99449.62999999999</v>
      </c>
      <c r="T234" s="238">
        <v>0</v>
      </c>
      <c r="U234" s="238">
        <v>95415.039999999994</v>
      </c>
      <c r="V234" s="171">
        <f t="shared" si="90"/>
        <v>95415.039999999994</v>
      </c>
      <c r="W234" s="56">
        <v>100495.22</v>
      </c>
      <c r="X234" s="568">
        <f t="shared" si="80"/>
        <v>0</v>
      </c>
      <c r="Y234" s="569">
        <v>104701.59000000001</v>
      </c>
      <c r="Z234" s="171">
        <f t="shared" si="91"/>
        <v>104701.59000000001</v>
      </c>
      <c r="AA234" s="48">
        <v>106589.48999999999</v>
      </c>
      <c r="AB234" s="238">
        <f t="shared" si="81"/>
        <v>0</v>
      </c>
      <c r="AC234" s="238">
        <v>106809.67000000001</v>
      </c>
      <c r="AD234" s="171">
        <f t="shared" si="92"/>
        <v>106809.67000000001</v>
      </c>
      <c r="AE234" s="238"/>
      <c r="AF234" s="238">
        <f t="shared" si="82"/>
        <v>0</v>
      </c>
      <c r="AG234" s="196">
        <v>227</v>
      </c>
      <c r="AH234" s="73" t="s">
        <v>648</v>
      </c>
      <c r="AI234" s="139" t="s">
        <v>649</v>
      </c>
      <c r="AJ234" s="238">
        <f t="shared" si="83"/>
        <v>0</v>
      </c>
      <c r="AK234" s="238"/>
      <c r="AL234" s="358" t="s">
        <v>648</v>
      </c>
      <c r="AM234" s="48">
        <v>106589.48999999999</v>
      </c>
      <c r="AN234" s="238" t="s">
        <v>648</v>
      </c>
      <c r="AO234" s="238">
        <v>106809.67000000001</v>
      </c>
      <c r="AQ234" s="472">
        <f t="shared" si="84"/>
        <v>0</v>
      </c>
      <c r="AS234" t="s">
        <v>648</v>
      </c>
      <c r="AT234" t="s">
        <v>1908</v>
      </c>
      <c r="AU234" s="48">
        <v>76665.02</v>
      </c>
      <c r="AV234" s="48">
        <v>7608.23</v>
      </c>
      <c r="AW234" s="48">
        <v>1008.27</v>
      </c>
      <c r="AX234" s="48">
        <v>0</v>
      </c>
      <c r="AY234" s="48">
        <v>16445.22</v>
      </c>
      <c r="AZ234" s="48">
        <v>4307.47</v>
      </c>
      <c r="BA234" s="48">
        <v>0</v>
      </c>
      <c r="BB234" s="48">
        <v>340.71</v>
      </c>
      <c r="BC234" s="48">
        <v>434.75</v>
      </c>
      <c r="BD234" s="48">
        <v>0</v>
      </c>
      <c r="BE234" s="48"/>
      <c r="BF234" s="48">
        <f t="shared" si="79"/>
        <v>106809.67000000001</v>
      </c>
      <c r="BG234" s="48"/>
      <c r="BH234" s="48"/>
      <c r="BI234" s="48" t="str">
        <f t="shared" si="85"/>
        <v>34307</v>
      </c>
      <c r="BJ234" s="48">
        <f t="shared" si="86"/>
        <v>106809.67000000001</v>
      </c>
      <c r="BK234" s="628">
        <f t="shared" si="87"/>
        <v>0</v>
      </c>
    </row>
    <row r="235" spans="1:63">
      <c r="A235" s="196">
        <v>228</v>
      </c>
      <c r="B235" s="73" t="s">
        <v>1388</v>
      </c>
      <c r="C235" s="113" t="s">
        <v>1478</v>
      </c>
      <c r="D235" s="168">
        <v>11361.8</v>
      </c>
      <c r="E235" s="170">
        <v>23693.480000000003</v>
      </c>
      <c r="F235" s="171">
        <f t="shared" si="93"/>
        <v>35055.279999999999</v>
      </c>
      <c r="G235" s="181">
        <v>45972.77</v>
      </c>
      <c r="H235" s="179">
        <v>0</v>
      </c>
      <c r="I235" s="170">
        <v>35336.960000000006</v>
      </c>
      <c r="J235" s="171">
        <f t="shared" si="94"/>
        <v>35336.960000000006</v>
      </c>
      <c r="K235" s="202">
        <v>32160.07</v>
      </c>
      <c r="L235" s="171">
        <v>3176.8900000000067</v>
      </c>
      <c r="M235" s="197">
        <v>33836.74</v>
      </c>
      <c r="N235" s="171">
        <f t="shared" si="88"/>
        <v>37013.630000000005</v>
      </c>
      <c r="O235" s="202"/>
      <c r="P235" s="238">
        <v>37013.630000000005</v>
      </c>
      <c r="Q235" s="197">
        <v>35693.909999999996</v>
      </c>
      <c r="R235" s="171">
        <f t="shared" si="89"/>
        <v>72707.540000000008</v>
      </c>
      <c r="S235" s="202">
        <v>0</v>
      </c>
      <c r="T235" s="238">
        <v>72707.540000000008</v>
      </c>
      <c r="U235" s="238">
        <v>38955.869999999995</v>
      </c>
      <c r="V235" s="171">
        <f t="shared" si="90"/>
        <v>111663.41</v>
      </c>
      <c r="W235" s="56"/>
      <c r="X235" s="568">
        <f t="shared" si="80"/>
        <v>111663.41</v>
      </c>
      <c r="Y235" s="569">
        <v>42137.579999999994</v>
      </c>
      <c r="Z235" s="171">
        <f t="shared" si="91"/>
        <v>153800.99</v>
      </c>
      <c r="AA235" s="48"/>
      <c r="AB235" s="238">
        <f t="shared" si="81"/>
        <v>153800.99</v>
      </c>
      <c r="AC235" s="238">
        <v>43500.71</v>
      </c>
      <c r="AD235" s="171">
        <f t="shared" si="92"/>
        <v>197301.69999999998</v>
      </c>
      <c r="AE235" s="238"/>
      <c r="AF235" s="238">
        <f t="shared" si="82"/>
        <v>0</v>
      </c>
      <c r="AG235" s="196">
        <v>228</v>
      </c>
      <c r="AH235" s="73" t="s">
        <v>1388</v>
      </c>
      <c r="AI235" s="113" t="s">
        <v>1478</v>
      </c>
      <c r="AJ235" s="238">
        <f t="shared" si="83"/>
        <v>0</v>
      </c>
      <c r="AK235" s="238"/>
      <c r="AL235" s="73" t="s">
        <v>1388</v>
      </c>
      <c r="AM235" s="48"/>
      <c r="AN235" s="238" t="s">
        <v>1388</v>
      </c>
      <c r="AO235" s="238">
        <v>43500.71</v>
      </c>
      <c r="AQ235" s="472">
        <f t="shared" si="84"/>
        <v>0</v>
      </c>
      <c r="AS235" t="s">
        <v>1388</v>
      </c>
      <c r="AT235" t="s">
        <v>1960</v>
      </c>
      <c r="AU235" s="48">
        <v>31784.9</v>
      </c>
      <c r="AV235" s="48">
        <v>0</v>
      </c>
      <c r="AW235" s="48">
        <v>0</v>
      </c>
      <c r="AX235" s="48">
        <v>0</v>
      </c>
      <c r="AY235" s="48">
        <v>2501.61</v>
      </c>
      <c r="AZ235" s="48">
        <v>3178.13</v>
      </c>
      <c r="BA235" s="48">
        <v>1913.79</v>
      </c>
      <c r="BB235" s="48">
        <v>4122.28</v>
      </c>
      <c r="BC235" s="48">
        <v>0</v>
      </c>
      <c r="BD235" s="48">
        <v>0</v>
      </c>
      <c r="BE235" s="48"/>
      <c r="BF235" s="48">
        <f t="shared" si="79"/>
        <v>43500.71</v>
      </c>
      <c r="BG235" s="48"/>
      <c r="BH235" s="48"/>
      <c r="BI235" s="48" t="str">
        <f t="shared" si="85"/>
        <v>17908</v>
      </c>
      <c r="BJ235" s="48">
        <f t="shared" si="86"/>
        <v>43500.71</v>
      </c>
      <c r="BK235" s="628">
        <f t="shared" si="87"/>
        <v>0</v>
      </c>
    </row>
    <row r="236" spans="1:63">
      <c r="A236" s="196">
        <v>229</v>
      </c>
      <c r="B236" s="73" t="s">
        <v>1477</v>
      </c>
      <c r="C236" s="73" t="s">
        <v>1588</v>
      </c>
      <c r="D236" s="168">
        <v>11819.37</v>
      </c>
      <c r="E236" s="170">
        <v>23951.08</v>
      </c>
      <c r="F236" s="171">
        <f t="shared" si="93"/>
        <v>35770.450000000004</v>
      </c>
      <c r="G236" s="181">
        <v>34427.06</v>
      </c>
      <c r="H236" s="179">
        <v>1343.3900000000067</v>
      </c>
      <c r="I236" s="170">
        <v>30327.27</v>
      </c>
      <c r="J236" s="171">
        <f t="shared" si="94"/>
        <v>31670.660000000007</v>
      </c>
      <c r="K236" s="202">
        <v>14153.65</v>
      </c>
      <c r="L236" s="171">
        <v>17517.010000000009</v>
      </c>
      <c r="M236" s="197">
        <v>26763.329999999998</v>
      </c>
      <c r="N236" s="171">
        <f t="shared" si="88"/>
        <v>44280.340000000011</v>
      </c>
      <c r="O236" s="202">
        <v>795</v>
      </c>
      <c r="P236" s="238">
        <v>43485.340000000011</v>
      </c>
      <c r="Q236" s="197">
        <v>29295.59</v>
      </c>
      <c r="R236" s="171">
        <f t="shared" si="89"/>
        <v>72780.930000000008</v>
      </c>
      <c r="S236" s="202">
        <v>3885</v>
      </c>
      <c r="T236" s="238">
        <v>68895.930000000008</v>
      </c>
      <c r="U236" s="238">
        <v>30116.37</v>
      </c>
      <c r="V236" s="171">
        <f t="shared" si="90"/>
        <v>99012.3</v>
      </c>
      <c r="W236" s="56">
        <v>35768.960000000006</v>
      </c>
      <c r="X236" s="568">
        <f t="shared" si="80"/>
        <v>63243.34</v>
      </c>
      <c r="Y236" s="569">
        <v>28585.710000000003</v>
      </c>
      <c r="Z236" s="171">
        <f t="shared" si="91"/>
        <v>91829.05</v>
      </c>
      <c r="AA236" s="48">
        <v>23198.440000000006</v>
      </c>
      <c r="AB236" s="238">
        <f t="shared" si="81"/>
        <v>68630.61</v>
      </c>
      <c r="AC236" s="238">
        <v>28120.560000000001</v>
      </c>
      <c r="AD236" s="171">
        <f t="shared" si="92"/>
        <v>96751.17</v>
      </c>
      <c r="AE236" s="238"/>
      <c r="AF236" s="238">
        <f t="shared" si="82"/>
        <v>0</v>
      </c>
      <c r="AG236" s="196">
        <v>229</v>
      </c>
      <c r="AH236" s="73" t="s">
        <v>1477</v>
      </c>
      <c r="AI236" s="73" t="s">
        <v>1588</v>
      </c>
      <c r="AJ236" s="238">
        <f t="shared" si="83"/>
        <v>0</v>
      </c>
      <c r="AK236" s="238"/>
      <c r="AL236" s="358" t="s">
        <v>1477</v>
      </c>
      <c r="AM236" s="48">
        <v>23198.440000000006</v>
      </c>
      <c r="AN236" s="238" t="s">
        <v>1477</v>
      </c>
      <c r="AO236" s="238">
        <v>28120.560000000001</v>
      </c>
      <c r="AQ236" s="472">
        <f t="shared" si="84"/>
        <v>0</v>
      </c>
      <c r="AS236" t="s">
        <v>1477</v>
      </c>
      <c r="AT236" t="s">
        <v>1961</v>
      </c>
      <c r="AU236" s="48">
        <v>23576.720000000001</v>
      </c>
      <c r="AV236" s="48">
        <v>494.82</v>
      </c>
      <c r="AW236" s="48">
        <v>0</v>
      </c>
      <c r="AX236" s="48">
        <v>0</v>
      </c>
      <c r="AY236" s="48">
        <v>2320.7800000000002</v>
      </c>
      <c r="AZ236" s="48">
        <v>1013.29</v>
      </c>
      <c r="BA236" s="48">
        <v>654.91</v>
      </c>
      <c r="BB236" s="48">
        <v>0</v>
      </c>
      <c r="BC236" s="48">
        <v>60.04</v>
      </c>
      <c r="BD236" s="48">
        <v>0</v>
      </c>
      <c r="BE236" s="48"/>
      <c r="BF236" s="48">
        <f t="shared" si="79"/>
        <v>28120.560000000001</v>
      </c>
      <c r="BG236" s="48"/>
      <c r="BH236" s="48"/>
      <c r="BI236" s="48" t="str">
        <f t="shared" si="85"/>
        <v>17910</v>
      </c>
      <c r="BJ236" s="48">
        <f t="shared" si="86"/>
        <v>28120.560000000001</v>
      </c>
      <c r="BK236" s="628">
        <f t="shared" si="87"/>
        <v>0</v>
      </c>
    </row>
    <row r="237" spans="1:63">
      <c r="A237" s="196">
        <v>230</v>
      </c>
      <c r="B237" s="73" t="s">
        <v>490</v>
      </c>
      <c r="C237" s="139" t="s">
        <v>491</v>
      </c>
      <c r="D237" s="168">
        <v>0</v>
      </c>
      <c r="E237" s="170">
        <v>38537.83</v>
      </c>
      <c r="F237" s="171">
        <f t="shared" si="93"/>
        <v>38537.83</v>
      </c>
      <c r="G237" s="181">
        <v>47536.13</v>
      </c>
      <c r="H237" s="178">
        <v>0</v>
      </c>
      <c r="I237" s="170">
        <v>50240.2</v>
      </c>
      <c r="J237" s="171">
        <f t="shared" si="94"/>
        <v>50240.2</v>
      </c>
      <c r="K237" s="202">
        <v>43800.22</v>
      </c>
      <c r="L237" s="171">
        <v>6439.9799999999959</v>
      </c>
      <c r="M237" s="197">
        <v>49280.46</v>
      </c>
      <c r="N237" s="171">
        <f t="shared" si="88"/>
        <v>55720.439999999995</v>
      </c>
      <c r="O237" s="202">
        <v>23743.360000000001</v>
      </c>
      <c r="P237" s="238">
        <v>31977.079999999994</v>
      </c>
      <c r="Q237" s="197">
        <v>50024.97</v>
      </c>
      <c r="R237" s="171">
        <f t="shared" si="89"/>
        <v>82002.049999999988</v>
      </c>
      <c r="S237" s="202">
        <v>30128.84</v>
      </c>
      <c r="T237" s="238">
        <v>51873.209999999992</v>
      </c>
      <c r="U237" s="238">
        <v>56743.68</v>
      </c>
      <c r="V237" s="171">
        <f t="shared" si="90"/>
        <v>108616.88999999998</v>
      </c>
      <c r="W237" s="56">
        <v>44132.689999999995</v>
      </c>
      <c r="X237" s="568">
        <f t="shared" si="80"/>
        <v>64484.19999999999</v>
      </c>
      <c r="Y237" s="569">
        <v>59835.659999999996</v>
      </c>
      <c r="Z237" s="171">
        <f t="shared" si="91"/>
        <v>124319.85999999999</v>
      </c>
      <c r="AA237" s="48">
        <v>47920.80999999999</v>
      </c>
      <c r="AB237" s="238">
        <f t="shared" si="81"/>
        <v>76399.049999999988</v>
      </c>
      <c r="AC237" s="238">
        <v>54521.130000000005</v>
      </c>
      <c r="AD237" s="171">
        <f t="shared" si="92"/>
        <v>130920.18</v>
      </c>
      <c r="AE237" s="238"/>
      <c r="AF237" s="238">
        <f t="shared" si="82"/>
        <v>0</v>
      </c>
      <c r="AG237" s="196">
        <v>230</v>
      </c>
      <c r="AH237" s="73" t="s">
        <v>490</v>
      </c>
      <c r="AI237" s="139" t="s">
        <v>491</v>
      </c>
      <c r="AJ237" s="238">
        <f t="shared" si="83"/>
        <v>0</v>
      </c>
      <c r="AK237" s="238"/>
      <c r="AL237" s="358" t="s">
        <v>490</v>
      </c>
      <c r="AM237" s="48">
        <v>47920.80999999999</v>
      </c>
      <c r="AN237" s="238" t="s">
        <v>490</v>
      </c>
      <c r="AO237" s="238">
        <v>54521.130000000005</v>
      </c>
      <c r="AQ237" s="472">
        <f t="shared" si="84"/>
        <v>0</v>
      </c>
      <c r="AS237" t="s">
        <v>490</v>
      </c>
      <c r="AT237" t="s">
        <v>1827</v>
      </c>
      <c r="AU237" s="48">
        <v>36564.19</v>
      </c>
      <c r="AV237" s="48">
        <v>3054.08</v>
      </c>
      <c r="AW237" s="48">
        <v>243.59</v>
      </c>
      <c r="AX237" s="48">
        <v>0</v>
      </c>
      <c r="AY237" s="48">
        <v>6542.3</v>
      </c>
      <c r="AZ237" s="48">
        <v>3205.16</v>
      </c>
      <c r="BA237" s="48">
        <v>2178.4</v>
      </c>
      <c r="BB237" s="48">
        <v>1341.27</v>
      </c>
      <c r="BC237" s="48">
        <v>195.79</v>
      </c>
      <c r="BD237" s="48">
        <v>1196.3499999999999</v>
      </c>
      <c r="BE237" s="48"/>
      <c r="BF237" s="48">
        <f t="shared" si="79"/>
        <v>54521.130000000005</v>
      </c>
      <c r="BG237" s="48"/>
      <c r="BH237" s="48"/>
      <c r="BI237" s="48" t="str">
        <f t="shared" si="85"/>
        <v>25116</v>
      </c>
      <c r="BJ237" s="48">
        <f t="shared" si="86"/>
        <v>54521.130000000005</v>
      </c>
      <c r="BK237" s="628">
        <f t="shared" si="87"/>
        <v>0</v>
      </c>
    </row>
    <row r="238" spans="1:63">
      <c r="A238" s="196">
        <v>231</v>
      </c>
      <c r="B238" s="73" t="s">
        <v>444</v>
      </c>
      <c r="C238" s="139" t="s">
        <v>445</v>
      </c>
      <c r="D238" s="168">
        <v>4775.4500000000007</v>
      </c>
      <c r="E238" s="170">
        <v>39254.82</v>
      </c>
      <c r="F238" s="171">
        <f t="shared" si="93"/>
        <v>44030.270000000004</v>
      </c>
      <c r="G238" s="181">
        <v>47572.5</v>
      </c>
      <c r="H238" s="178">
        <v>0</v>
      </c>
      <c r="I238" s="170">
        <v>60142.759999999995</v>
      </c>
      <c r="J238" s="171">
        <f t="shared" si="94"/>
        <v>60142.759999999995</v>
      </c>
      <c r="K238" s="202">
        <v>48388.97</v>
      </c>
      <c r="L238" s="171">
        <v>11753.789999999994</v>
      </c>
      <c r="M238" s="197">
        <v>62017.55</v>
      </c>
      <c r="N238" s="171">
        <f t="shared" si="88"/>
        <v>73771.34</v>
      </c>
      <c r="O238" s="202">
        <v>73771.34</v>
      </c>
      <c r="P238" s="238">
        <v>0</v>
      </c>
      <c r="Q238" s="197">
        <v>70788.12000000001</v>
      </c>
      <c r="R238" s="171">
        <f t="shared" si="89"/>
        <v>70788.12000000001</v>
      </c>
      <c r="S238" s="202">
        <v>70788.13</v>
      </c>
      <c r="T238" s="238">
        <v>0</v>
      </c>
      <c r="U238" s="238">
        <v>66277.47</v>
      </c>
      <c r="V238" s="171">
        <f t="shared" si="90"/>
        <v>66277.47</v>
      </c>
      <c r="W238" s="56">
        <v>66277.48</v>
      </c>
      <c r="X238" s="568">
        <f t="shared" si="80"/>
        <v>0</v>
      </c>
      <c r="Y238" s="569">
        <v>70160.61</v>
      </c>
      <c r="Z238" s="171">
        <f t="shared" si="91"/>
        <v>70160.61</v>
      </c>
      <c r="AA238" s="48">
        <v>70197.84</v>
      </c>
      <c r="AB238" s="238">
        <f t="shared" si="81"/>
        <v>0</v>
      </c>
      <c r="AC238" s="238">
        <v>70324.889999999985</v>
      </c>
      <c r="AD238" s="171">
        <f t="shared" si="92"/>
        <v>70324.889999999985</v>
      </c>
      <c r="AE238" s="238"/>
      <c r="AF238" s="238">
        <f t="shared" si="82"/>
        <v>0</v>
      </c>
      <c r="AG238" s="196">
        <v>231</v>
      </c>
      <c r="AH238" s="73" t="s">
        <v>444</v>
      </c>
      <c r="AI238" s="139" t="s">
        <v>445</v>
      </c>
      <c r="AJ238" s="238">
        <f t="shared" si="83"/>
        <v>0</v>
      </c>
      <c r="AK238" s="238"/>
      <c r="AL238" s="358" t="s">
        <v>444</v>
      </c>
      <c r="AM238" s="48">
        <v>70197.84</v>
      </c>
      <c r="AN238" s="238" t="s">
        <v>444</v>
      </c>
      <c r="AO238" s="238">
        <v>70324.889999999985</v>
      </c>
      <c r="AQ238" s="472">
        <f t="shared" si="84"/>
        <v>0</v>
      </c>
      <c r="AS238" t="s">
        <v>444</v>
      </c>
      <c r="AT238" t="s">
        <v>1805</v>
      </c>
      <c r="AU238" s="48">
        <v>52058.15</v>
      </c>
      <c r="AV238" s="48">
        <v>2516.0300000000002</v>
      </c>
      <c r="AW238" s="48">
        <v>695.31</v>
      </c>
      <c r="AX238" s="48">
        <v>0</v>
      </c>
      <c r="AY238" s="48">
        <v>8077.73</v>
      </c>
      <c r="AZ238" s="48">
        <v>3237.54</v>
      </c>
      <c r="BA238" s="48">
        <v>1550.93</v>
      </c>
      <c r="BB238" s="48">
        <v>114.09</v>
      </c>
      <c r="BC238" s="48">
        <v>326.83999999999997</v>
      </c>
      <c r="BD238" s="48">
        <v>1748.27</v>
      </c>
      <c r="BE238" s="48"/>
      <c r="BF238" s="48">
        <f t="shared" si="79"/>
        <v>70324.889999999985</v>
      </c>
      <c r="BG238" s="48"/>
      <c r="BH238" s="48"/>
      <c r="BI238" s="48" t="str">
        <f t="shared" si="85"/>
        <v>22009</v>
      </c>
      <c r="BJ238" s="48">
        <f t="shared" si="86"/>
        <v>70324.889999999985</v>
      </c>
      <c r="BK238" s="628">
        <f t="shared" si="87"/>
        <v>0</v>
      </c>
    </row>
    <row r="239" spans="1:63">
      <c r="A239" s="196">
        <v>232</v>
      </c>
      <c r="B239" s="73" t="s">
        <v>350</v>
      </c>
      <c r="C239" s="139" t="s">
        <v>351</v>
      </c>
      <c r="D239" s="168">
        <v>21655.809999999939</v>
      </c>
      <c r="E239" s="170">
        <v>1194624.03</v>
      </c>
      <c r="F239" s="171">
        <f t="shared" si="93"/>
        <v>1216279.8399999999</v>
      </c>
      <c r="G239" s="181">
        <v>1177144.08</v>
      </c>
      <c r="H239" s="178">
        <v>39135.759999999776</v>
      </c>
      <c r="I239" s="170">
        <v>1707149.4400000002</v>
      </c>
      <c r="J239" s="171">
        <f t="shared" si="94"/>
        <v>1746285.2</v>
      </c>
      <c r="K239" s="202">
        <v>1804046.2899999998</v>
      </c>
      <c r="L239" s="171">
        <v>0</v>
      </c>
      <c r="M239" s="197">
        <v>1663089.19</v>
      </c>
      <c r="N239" s="171">
        <f t="shared" si="88"/>
        <v>1663089.19</v>
      </c>
      <c r="O239" s="202">
        <v>1941635.92</v>
      </c>
      <c r="P239" s="238">
        <v>0</v>
      </c>
      <c r="Q239" s="197">
        <v>1803769.42</v>
      </c>
      <c r="R239" s="171">
        <f t="shared" si="89"/>
        <v>1803769.42</v>
      </c>
      <c r="S239" s="202">
        <v>2034156.0699999998</v>
      </c>
      <c r="T239" s="238">
        <v>0</v>
      </c>
      <c r="U239" s="238">
        <v>1837865.79</v>
      </c>
      <c r="V239" s="171">
        <f t="shared" si="90"/>
        <v>1837865.79</v>
      </c>
      <c r="W239" s="56">
        <v>2054090.2799999986</v>
      </c>
      <c r="X239" s="568">
        <f t="shared" si="80"/>
        <v>0</v>
      </c>
      <c r="Y239" s="569">
        <v>1937771.52</v>
      </c>
      <c r="Z239" s="171">
        <f t="shared" si="91"/>
        <v>1937771.52</v>
      </c>
      <c r="AA239" s="48">
        <v>1945988.4600000037</v>
      </c>
      <c r="AB239" s="238">
        <f t="shared" si="81"/>
        <v>0</v>
      </c>
      <c r="AC239" s="238">
        <v>1881829.3699999999</v>
      </c>
      <c r="AD239" s="171">
        <f t="shared" si="92"/>
        <v>1881829.3699999999</v>
      </c>
      <c r="AE239" s="238"/>
      <c r="AF239" s="238">
        <f t="shared" si="82"/>
        <v>0</v>
      </c>
      <c r="AG239" s="196">
        <v>232</v>
      </c>
      <c r="AH239" s="73" t="s">
        <v>350</v>
      </c>
      <c r="AI239" s="139" t="s">
        <v>351</v>
      </c>
      <c r="AJ239" s="238">
        <f t="shared" si="83"/>
        <v>0</v>
      </c>
      <c r="AK239" s="238"/>
      <c r="AL239" s="358" t="s">
        <v>350</v>
      </c>
      <c r="AM239" s="48">
        <v>1945988.4600000037</v>
      </c>
      <c r="AN239" s="238" t="s">
        <v>350</v>
      </c>
      <c r="AO239" s="238">
        <v>1881829.3699999999</v>
      </c>
      <c r="AQ239" s="472">
        <f t="shared" si="84"/>
        <v>0</v>
      </c>
      <c r="AS239" t="s">
        <v>350</v>
      </c>
      <c r="AT239" t="s">
        <v>1755</v>
      </c>
      <c r="AU239" s="48">
        <v>1223669.76</v>
      </c>
      <c r="AV239" s="48">
        <v>144849.45000000001</v>
      </c>
      <c r="AW239" s="48">
        <v>30258.6</v>
      </c>
      <c r="AX239" s="48">
        <v>0</v>
      </c>
      <c r="AY239" s="48">
        <v>204331.49</v>
      </c>
      <c r="AZ239" s="48">
        <v>89436.89</v>
      </c>
      <c r="BA239" s="48">
        <v>37828.26</v>
      </c>
      <c r="BB239" s="48">
        <v>109868.22</v>
      </c>
      <c r="BC239" s="48">
        <v>7300.41</v>
      </c>
      <c r="BD239" s="48">
        <v>34286.29</v>
      </c>
      <c r="BE239" s="48"/>
      <c r="BF239" s="48">
        <f t="shared" si="79"/>
        <v>1881829.3699999999</v>
      </c>
      <c r="BG239" s="48"/>
      <c r="BH239" s="48"/>
      <c r="BI239" s="48" t="str">
        <f t="shared" si="85"/>
        <v>17403</v>
      </c>
      <c r="BJ239" s="48">
        <f t="shared" si="86"/>
        <v>1881829.3699999999</v>
      </c>
      <c r="BK239" s="628">
        <f t="shared" si="87"/>
        <v>0</v>
      </c>
    </row>
    <row r="240" spans="1:63">
      <c r="A240" s="196">
        <v>233</v>
      </c>
      <c r="B240" s="73" t="s">
        <v>265</v>
      </c>
      <c r="C240" s="139" t="s">
        <v>266</v>
      </c>
      <c r="D240" s="168">
        <v>3385.1900000000014</v>
      </c>
      <c r="E240" s="170">
        <v>24168.840000000004</v>
      </c>
      <c r="F240" s="171">
        <f t="shared" si="93"/>
        <v>27554.030000000006</v>
      </c>
      <c r="G240" s="181">
        <v>13665.9</v>
      </c>
      <c r="H240" s="178">
        <v>13888.130000000006</v>
      </c>
      <c r="I240" s="170">
        <v>36300.76</v>
      </c>
      <c r="J240" s="171">
        <f t="shared" si="94"/>
        <v>50188.890000000007</v>
      </c>
      <c r="K240" s="202">
        <v>3740.8</v>
      </c>
      <c r="L240" s="171">
        <v>46448.090000000004</v>
      </c>
      <c r="M240" s="197">
        <v>35892.94</v>
      </c>
      <c r="N240" s="171">
        <f t="shared" si="88"/>
        <v>82341.03</v>
      </c>
      <c r="O240" s="202">
        <v>5982.88</v>
      </c>
      <c r="P240" s="238">
        <v>76358.149999999994</v>
      </c>
      <c r="Q240" s="197">
        <v>41511.72</v>
      </c>
      <c r="R240" s="171">
        <f t="shared" si="89"/>
        <v>117869.87</v>
      </c>
      <c r="S240" s="202">
        <v>26036.460000000003</v>
      </c>
      <c r="T240" s="238">
        <v>91833.409999999989</v>
      </c>
      <c r="U240" s="238">
        <v>44412.439999999995</v>
      </c>
      <c r="V240" s="171">
        <f t="shared" si="90"/>
        <v>136245.84999999998</v>
      </c>
      <c r="W240" s="56">
        <v>35216.11</v>
      </c>
      <c r="X240" s="568">
        <f t="shared" si="80"/>
        <v>101029.73999999998</v>
      </c>
      <c r="Y240" s="569">
        <v>46357.87</v>
      </c>
      <c r="Z240" s="171">
        <f t="shared" si="91"/>
        <v>147387.60999999999</v>
      </c>
      <c r="AA240" s="48">
        <v>86396.859999999971</v>
      </c>
      <c r="AB240" s="238">
        <f t="shared" si="81"/>
        <v>60990.750000000015</v>
      </c>
      <c r="AC240" s="238">
        <v>44599.829999999994</v>
      </c>
      <c r="AD240" s="171">
        <f t="shared" si="92"/>
        <v>105590.58000000002</v>
      </c>
      <c r="AE240" s="238"/>
      <c r="AF240" s="238">
        <f t="shared" si="82"/>
        <v>0</v>
      </c>
      <c r="AG240" s="196">
        <v>233</v>
      </c>
      <c r="AH240" s="73" t="s">
        <v>265</v>
      </c>
      <c r="AI240" s="139" t="s">
        <v>266</v>
      </c>
      <c r="AJ240" s="238">
        <f t="shared" si="83"/>
        <v>0</v>
      </c>
      <c r="AK240" s="238"/>
      <c r="AL240" s="358" t="s">
        <v>265</v>
      </c>
      <c r="AM240" s="48">
        <v>86396.859999999971</v>
      </c>
      <c r="AN240" s="238" t="s">
        <v>265</v>
      </c>
      <c r="AO240" s="238">
        <v>44599.829999999994</v>
      </c>
      <c r="AQ240" s="472">
        <f t="shared" si="84"/>
        <v>0</v>
      </c>
      <c r="AS240" t="s">
        <v>265</v>
      </c>
      <c r="AT240" t="s">
        <v>1712</v>
      </c>
      <c r="AU240" s="48">
        <v>30869.200000000001</v>
      </c>
      <c r="AV240" s="48">
        <v>618.21</v>
      </c>
      <c r="AW240" s="48">
        <v>0</v>
      </c>
      <c r="AX240" s="48">
        <v>0</v>
      </c>
      <c r="AY240" s="48">
        <v>8507.4</v>
      </c>
      <c r="AZ240" s="48">
        <v>2884.5</v>
      </c>
      <c r="BA240" s="48">
        <v>1484.64</v>
      </c>
      <c r="BB240" s="48">
        <v>0</v>
      </c>
      <c r="BC240" s="48">
        <v>235.88</v>
      </c>
      <c r="BD240" s="48">
        <v>0</v>
      </c>
      <c r="BE240" s="48"/>
      <c r="BF240" s="48">
        <f t="shared" si="79"/>
        <v>44599.829999999994</v>
      </c>
      <c r="BG240" s="48"/>
      <c r="BH240" s="48"/>
      <c r="BI240" s="48" t="str">
        <f t="shared" si="85"/>
        <v>10309</v>
      </c>
      <c r="BJ240" s="48">
        <f t="shared" si="86"/>
        <v>44599.829999999994</v>
      </c>
      <c r="BK240" s="628">
        <f t="shared" si="87"/>
        <v>0</v>
      </c>
    </row>
    <row r="241" spans="1:63">
      <c r="A241" s="196">
        <v>234</v>
      </c>
      <c r="B241" s="73" t="s">
        <v>187</v>
      </c>
      <c r="C241" s="139" t="s">
        <v>188</v>
      </c>
      <c r="D241" s="168">
        <v>72688.38</v>
      </c>
      <c r="E241" s="170">
        <v>823422.11</v>
      </c>
      <c r="F241" s="171">
        <f t="shared" si="93"/>
        <v>896110.49</v>
      </c>
      <c r="G241" s="181">
        <v>643085.67000000004</v>
      </c>
      <c r="H241" s="178">
        <v>253024.81999999995</v>
      </c>
      <c r="I241" s="170">
        <v>1161529.51</v>
      </c>
      <c r="J241" s="171">
        <f t="shared" si="94"/>
        <v>1414554.33</v>
      </c>
      <c r="K241" s="202">
        <v>1145743.9300000002</v>
      </c>
      <c r="L241" s="171">
        <v>268810.39999999991</v>
      </c>
      <c r="M241" s="197">
        <v>1160441.54</v>
      </c>
      <c r="N241" s="171">
        <f t="shared" si="88"/>
        <v>1429251.94</v>
      </c>
      <c r="O241" s="202">
        <v>1411096.7</v>
      </c>
      <c r="P241" s="238">
        <v>18155.239999999991</v>
      </c>
      <c r="Q241" s="197">
        <v>1299037.71</v>
      </c>
      <c r="R241" s="171">
        <f t="shared" si="89"/>
        <v>1317192.95</v>
      </c>
      <c r="S241" s="202">
        <v>1045495.7000000002</v>
      </c>
      <c r="T241" s="238">
        <v>271697.24999999977</v>
      </c>
      <c r="U241" s="238">
        <v>1323639.52</v>
      </c>
      <c r="V241" s="171">
        <f t="shared" si="90"/>
        <v>1595336.7699999998</v>
      </c>
      <c r="W241" s="56">
        <v>1569051.800000001</v>
      </c>
      <c r="X241" s="568">
        <f t="shared" si="80"/>
        <v>26284.969999998808</v>
      </c>
      <c r="Y241" s="569">
        <v>1375316.76</v>
      </c>
      <c r="Z241" s="171">
        <f t="shared" si="91"/>
        <v>1401601.7299999988</v>
      </c>
      <c r="AA241" s="48">
        <v>1208739.53</v>
      </c>
      <c r="AB241" s="238">
        <f t="shared" si="81"/>
        <v>192862.19999999879</v>
      </c>
      <c r="AC241" s="238">
        <v>1381894.3300000003</v>
      </c>
      <c r="AD241" s="171">
        <f t="shared" si="92"/>
        <v>1574756.5299999991</v>
      </c>
      <c r="AE241" s="238"/>
      <c r="AF241" s="238">
        <f t="shared" si="82"/>
        <v>0</v>
      </c>
      <c r="AG241" s="196">
        <v>234</v>
      </c>
      <c r="AH241" s="73" t="s">
        <v>187</v>
      </c>
      <c r="AI241" s="139" t="s">
        <v>188</v>
      </c>
      <c r="AJ241" s="238">
        <f t="shared" si="83"/>
        <v>0</v>
      </c>
      <c r="AK241" s="238"/>
      <c r="AL241" s="358" t="s">
        <v>187</v>
      </c>
      <c r="AM241" s="48">
        <v>1208739.53</v>
      </c>
      <c r="AN241" s="238" t="s">
        <v>187</v>
      </c>
      <c r="AO241" s="238">
        <v>1381894.3300000003</v>
      </c>
      <c r="AQ241" s="472">
        <f t="shared" si="84"/>
        <v>0</v>
      </c>
      <c r="AS241" t="s">
        <v>187</v>
      </c>
      <c r="AT241" t="s">
        <v>1671</v>
      </c>
      <c r="AU241" s="48">
        <v>956766.54</v>
      </c>
      <c r="AV241" s="48">
        <v>71847.25</v>
      </c>
      <c r="AW241" s="48">
        <v>13133.63</v>
      </c>
      <c r="AX241" s="48">
        <v>0</v>
      </c>
      <c r="AY241" s="48">
        <v>232338.26</v>
      </c>
      <c r="AZ241" s="48">
        <v>58796.87</v>
      </c>
      <c r="BA241" s="48">
        <v>19903.18</v>
      </c>
      <c r="BB241" s="48">
        <v>23060.560000000001</v>
      </c>
      <c r="BC241" s="48">
        <v>6048.04</v>
      </c>
      <c r="BD241" s="48">
        <v>0</v>
      </c>
      <c r="BE241" s="48"/>
      <c r="BF241" s="48">
        <f t="shared" si="79"/>
        <v>1381894.3300000003</v>
      </c>
      <c r="BG241" s="48"/>
      <c r="BH241" s="48"/>
      <c r="BI241" s="48" t="str">
        <f t="shared" si="85"/>
        <v>03400</v>
      </c>
      <c r="BJ241" s="48">
        <f t="shared" si="86"/>
        <v>1381894.3300000003</v>
      </c>
      <c r="BK241" s="628">
        <f t="shared" si="87"/>
        <v>0</v>
      </c>
    </row>
    <row r="242" spans="1:63">
      <c r="A242" s="196">
        <v>235</v>
      </c>
      <c r="B242" s="73" t="s">
        <v>227</v>
      </c>
      <c r="C242" s="139" t="s">
        <v>228</v>
      </c>
      <c r="D242" s="168">
        <v>4099.410000000018</v>
      </c>
      <c r="E242" s="170">
        <v>206428.79999999999</v>
      </c>
      <c r="F242" s="171">
        <f t="shared" si="93"/>
        <v>210528.21000000002</v>
      </c>
      <c r="G242" s="181">
        <v>196572.95</v>
      </c>
      <c r="H242" s="178">
        <v>13955.260000000009</v>
      </c>
      <c r="I242" s="170">
        <v>302772.87</v>
      </c>
      <c r="J242" s="171">
        <f t="shared" si="94"/>
        <v>316728.13</v>
      </c>
      <c r="K242" s="202">
        <v>322298.9499999999</v>
      </c>
      <c r="L242" s="171">
        <v>0</v>
      </c>
      <c r="M242" s="197">
        <v>332242.14</v>
      </c>
      <c r="N242" s="171">
        <f t="shared" si="88"/>
        <v>332242.14</v>
      </c>
      <c r="O242" s="202">
        <v>320570.21999999997</v>
      </c>
      <c r="P242" s="238">
        <v>11671.920000000042</v>
      </c>
      <c r="Q242" s="197">
        <v>385007.83</v>
      </c>
      <c r="R242" s="171">
        <f t="shared" si="89"/>
        <v>396679.75000000006</v>
      </c>
      <c r="S242" s="202">
        <v>366385.5799999999</v>
      </c>
      <c r="T242" s="238">
        <v>30294.170000000158</v>
      </c>
      <c r="U242" s="238">
        <v>406704.52</v>
      </c>
      <c r="V242" s="171">
        <f t="shared" si="90"/>
        <v>436998.69000000018</v>
      </c>
      <c r="W242" s="56">
        <v>413506.25</v>
      </c>
      <c r="X242" s="568">
        <f t="shared" si="80"/>
        <v>23492.440000000177</v>
      </c>
      <c r="Y242" s="569">
        <v>436019.00999999995</v>
      </c>
      <c r="Z242" s="171">
        <f t="shared" si="91"/>
        <v>459511.45000000013</v>
      </c>
      <c r="AA242" s="48">
        <v>469114.7100000002</v>
      </c>
      <c r="AB242" s="238">
        <f t="shared" si="81"/>
        <v>0</v>
      </c>
      <c r="AC242" s="238">
        <v>429237.99999999994</v>
      </c>
      <c r="AD242" s="171">
        <f t="shared" si="92"/>
        <v>429237.99999999994</v>
      </c>
      <c r="AE242" s="238"/>
      <c r="AF242" s="238">
        <f t="shared" si="82"/>
        <v>0</v>
      </c>
      <c r="AG242" s="196">
        <v>235</v>
      </c>
      <c r="AH242" s="73" t="s">
        <v>227</v>
      </c>
      <c r="AI242" s="139" t="s">
        <v>228</v>
      </c>
      <c r="AJ242" s="238">
        <f t="shared" si="83"/>
        <v>0</v>
      </c>
      <c r="AK242" s="238"/>
      <c r="AL242" s="358" t="s">
        <v>227</v>
      </c>
      <c r="AM242" s="48">
        <v>469114.7100000002</v>
      </c>
      <c r="AN242" s="238" t="s">
        <v>227</v>
      </c>
      <c r="AO242" s="238">
        <v>429237.99999999994</v>
      </c>
      <c r="AQ242" s="472">
        <f t="shared" si="84"/>
        <v>0</v>
      </c>
      <c r="AS242" t="s">
        <v>227</v>
      </c>
      <c r="AT242" t="s">
        <v>1693</v>
      </c>
      <c r="AU242" s="48">
        <v>334737.38</v>
      </c>
      <c r="AV242" s="48">
        <v>22151.43</v>
      </c>
      <c r="AW242" s="48">
        <v>7321.16</v>
      </c>
      <c r="AX242" s="48">
        <v>0</v>
      </c>
      <c r="AY242" s="48">
        <v>46002.79</v>
      </c>
      <c r="AZ242" s="48">
        <v>11342.91</v>
      </c>
      <c r="BA242" s="48">
        <v>0</v>
      </c>
      <c r="BB242" s="48">
        <v>5690.25</v>
      </c>
      <c r="BC242" s="48">
        <v>1992.08</v>
      </c>
      <c r="BD242" s="48">
        <v>0</v>
      </c>
      <c r="BE242" s="48"/>
      <c r="BF242" s="48">
        <f t="shared" si="79"/>
        <v>429237.99999999994</v>
      </c>
      <c r="BG242" s="48"/>
      <c r="BH242" s="48"/>
      <c r="BI242" s="48" t="str">
        <f t="shared" si="85"/>
        <v>06122</v>
      </c>
      <c r="BJ242" s="48">
        <f t="shared" si="86"/>
        <v>429237.99999999994</v>
      </c>
      <c r="BK242" s="628">
        <f t="shared" si="87"/>
        <v>0</v>
      </c>
    </row>
    <row r="243" spans="1:63">
      <c r="A243" s="196">
        <v>236</v>
      </c>
      <c r="B243" s="73" t="s">
        <v>171</v>
      </c>
      <c r="C243" s="139" t="s">
        <v>172</v>
      </c>
      <c r="D243" s="168">
        <v>0</v>
      </c>
      <c r="E243" s="170">
        <v>25733.16</v>
      </c>
      <c r="F243" s="171">
        <f t="shared" si="93"/>
        <v>25733.16</v>
      </c>
      <c r="G243" s="181">
        <v>6700</v>
      </c>
      <c r="H243" s="178">
        <v>19033.16</v>
      </c>
      <c r="I243" s="170">
        <v>37566.839999999997</v>
      </c>
      <c r="J243" s="171">
        <f t="shared" si="94"/>
        <v>56600</v>
      </c>
      <c r="K243" s="202">
        <v>40279.699999999997</v>
      </c>
      <c r="L243" s="171">
        <v>16320.300000000003</v>
      </c>
      <c r="M243" s="197">
        <v>36936.839999999997</v>
      </c>
      <c r="N243" s="171">
        <f t="shared" si="88"/>
        <v>53257.14</v>
      </c>
      <c r="O243" s="202">
        <v>40666.400000000001</v>
      </c>
      <c r="P243" s="238">
        <v>12590.739999999998</v>
      </c>
      <c r="Q243" s="197">
        <v>42631.82</v>
      </c>
      <c r="R243" s="171">
        <f t="shared" si="89"/>
        <v>55222.559999999998</v>
      </c>
      <c r="S243" s="202">
        <v>42963.839999999997</v>
      </c>
      <c r="T243" s="238">
        <v>12258.720000000001</v>
      </c>
      <c r="U243" s="238">
        <v>43568.930000000008</v>
      </c>
      <c r="V243" s="171">
        <f t="shared" si="90"/>
        <v>55827.650000000009</v>
      </c>
      <c r="W243" s="56">
        <v>42082.52</v>
      </c>
      <c r="X243" s="568">
        <f t="shared" si="80"/>
        <v>13745.130000000012</v>
      </c>
      <c r="Y243" s="569">
        <v>47617.200000000012</v>
      </c>
      <c r="Z243" s="171">
        <f t="shared" si="91"/>
        <v>61362.330000000024</v>
      </c>
      <c r="AA243" s="48">
        <v>63296.070000000022</v>
      </c>
      <c r="AB243" s="238">
        <f t="shared" si="81"/>
        <v>0</v>
      </c>
      <c r="AC243" s="238">
        <v>45273.789999999994</v>
      </c>
      <c r="AD243" s="171">
        <f t="shared" si="92"/>
        <v>45273.789999999994</v>
      </c>
      <c r="AE243" s="238"/>
      <c r="AF243" s="238">
        <f t="shared" si="82"/>
        <v>0</v>
      </c>
      <c r="AG243" s="196">
        <v>236</v>
      </c>
      <c r="AH243" s="73" t="s">
        <v>171</v>
      </c>
      <c r="AI243" s="139" t="s">
        <v>172</v>
      </c>
      <c r="AJ243" s="238">
        <f t="shared" si="83"/>
        <v>0</v>
      </c>
      <c r="AK243" s="238"/>
      <c r="AL243" s="358" t="s">
        <v>171</v>
      </c>
      <c r="AM243" s="48">
        <v>63296.070000000022</v>
      </c>
      <c r="AN243" s="238" t="s">
        <v>171</v>
      </c>
      <c r="AO243" s="238">
        <v>45273.789999999994</v>
      </c>
      <c r="AQ243" s="472">
        <f t="shared" si="84"/>
        <v>0</v>
      </c>
      <c r="AS243" t="s">
        <v>171</v>
      </c>
      <c r="AT243" t="s">
        <v>1663</v>
      </c>
      <c r="AU243" s="48">
        <v>31554.02</v>
      </c>
      <c r="AV243" s="48">
        <v>3359.03</v>
      </c>
      <c r="AW243" s="48">
        <v>772.81</v>
      </c>
      <c r="AX243" s="48">
        <v>0</v>
      </c>
      <c r="AY243" s="48">
        <v>5217.18</v>
      </c>
      <c r="AZ243" s="48">
        <v>1968.92</v>
      </c>
      <c r="BA243" s="48">
        <v>814.5</v>
      </c>
      <c r="BB243" s="48">
        <v>0</v>
      </c>
      <c r="BC243" s="48">
        <v>171.56</v>
      </c>
      <c r="BD243" s="48">
        <v>1415.77</v>
      </c>
      <c r="BE243" s="48"/>
      <c r="BF243" s="48">
        <f t="shared" si="79"/>
        <v>45273.789999999994</v>
      </c>
      <c r="BG243" s="48"/>
      <c r="BH243" s="48"/>
      <c r="BI243" s="48" t="str">
        <f t="shared" si="85"/>
        <v>01160</v>
      </c>
      <c r="BJ243" s="48">
        <f t="shared" si="86"/>
        <v>45273.789999999994</v>
      </c>
      <c r="BK243" s="628">
        <f t="shared" si="87"/>
        <v>0</v>
      </c>
    </row>
    <row r="244" spans="1:63">
      <c r="A244" s="196">
        <v>237</v>
      </c>
      <c r="B244" s="73" t="s">
        <v>616</v>
      </c>
      <c r="C244" s="139" t="s">
        <v>617</v>
      </c>
      <c r="D244" s="168">
        <v>104.08000000000902</v>
      </c>
      <c r="E244" s="170">
        <v>83217.790000000008</v>
      </c>
      <c r="F244" s="171">
        <f t="shared" si="93"/>
        <v>83321.870000000024</v>
      </c>
      <c r="G244" s="181">
        <v>83380.490000000005</v>
      </c>
      <c r="H244" s="178">
        <v>0</v>
      </c>
      <c r="I244" s="170">
        <v>113194.91999999998</v>
      </c>
      <c r="J244" s="171">
        <f t="shared" si="94"/>
        <v>113194.91999999998</v>
      </c>
      <c r="K244" s="202">
        <v>130454.57</v>
      </c>
      <c r="L244" s="171">
        <v>0</v>
      </c>
      <c r="M244" s="197">
        <v>121861.47</v>
      </c>
      <c r="N244" s="171">
        <f t="shared" si="88"/>
        <v>121861.47</v>
      </c>
      <c r="O244" s="202">
        <v>124584.57999999999</v>
      </c>
      <c r="P244" s="238">
        <v>0</v>
      </c>
      <c r="Q244" s="197">
        <v>140431.66999999998</v>
      </c>
      <c r="R244" s="171">
        <f t="shared" si="89"/>
        <v>140431.66999999998</v>
      </c>
      <c r="S244" s="202">
        <v>131566.57999999999</v>
      </c>
      <c r="T244" s="238">
        <v>8865.0899999999965</v>
      </c>
      <c r="U244" s="238">
        <v>145480.27000000002</v>
      </c>
      <c r="V244" s="171">
        <f t="shared" si="90"/>
        <v>154345.36000000002</v>
      </c>
      <c r="W244" s="56">
        <v>139043.09999999998</v>
      </c>
      <c r="X244" s="568">
        <f t="shared" si="80"/>
        <v>15302.260000000038</v>
      </c>
      <c r="Y244" s="569">
        <v>146036.19999999998</v>
      </c>
      <c r="Z244" s="171">
        <f t="shared" si="91"/>
        <v>161338.46000000002</v>
      </c>
      <c r="AA244" s="48">
        <v>154890.23000000004</v>
      </c>
      <c r="AB244" s="238">
        <f t="shared" si="81"/>
        <v>6448.2299999999814</v>
      </c>
      <c r="AC244" s="238">
        <v>147272.09</v>
      </c>
      <c r="AD244" s="171">
        <f t="shared" si="92"/>
        <v>153720.31999999998</v>
      </c>
      <c r="AE244" s="238"/>
      <c r="AF244" s="238">
        <f t="shared" si="82"/>
        <v>0</v>
      </c>
      <c r="AG244" s="196">
        <v>237</v>
      </c>
      <c r="AH244" s="73" t="s">
        <v>616</v>
      </c>
      <c r="AI244" s="139" t="s">
        <v>617</v>
      </c>
      <c r="AJ244" s="238">
        <f t="shared" si="83"/>
        <v>0</v>
      </c>
      <c r="AK244" s="238"/>
      <c r="AL244" s="358" t="s">
        <v>616</v>
      </c>
      <c r="AM244" s="48">
        <v>154890.23000000004</v>
      </c>
      <c r="AN244" s="238" t="s">
        <v>616</v>
      </c>
      <c r="AO244" s="238">
        <v>147272.09</v>
      </c>
      <c r="AQ244" s="472">
        <f t="shared" si="84"/>
        <v>0</v>
      </c>
      <c r="AS244" t="s">
        <v>616</v>
      </c>
      <c r="AT244" t="s">
        <v>1891</v>
      </c>
      <c r="AU244" s="48">
        <v>104523.32</v>
      </c>
      <c r="AV244" s="48">
        <v>8312.7800000000007</v>
      </c>
      <c r="AW244" s="48">
        <v>3129.63</v>
      </c>
      <c r="AX244" s="48">
        <v>0</v>
      </c>
      <c r="AY244" s="48">
        <v>18101.82</v>
      </c>
      <c r="AZ244" s="48">
        <v>7477.18</v>
      </c>
      <c r="BA244" s="48">
        <v>4745.3100000000004</v>
      </c>
      <c r="BB244" s="48">
        <v>325.3</v>
      </c>
      <c r="BC244" s="48">
        <v>656.75</v>
      </c>
      <c r="BD244" s="48">
        <v>0</v>
      </c>
      <c r="BE244" s="48"/>
      <c r="BF244" s="48">
        <f t="shared" si="79"/>
        <v>147272.09</v>
      </c>
      <c r="BG244" s="48"/>
      <c r="BH244" s="48"/>
      <c r="BI244" s="48" t="str">
        <f t="shared" si="85"/>
        <v>32416</v>
      </c>
      <c r="BJ244" s="48">
        <f t="shared" si="86"/>
        <v>147272.09</v>
      </c>
      <c r="BK244" s="628">
        <f t="shared" si="87"/>
        <v>0</v>
      </c>
    </row>
    <row r="245" spans="1:63">
      <c r="A245" s="196">
        <v>238</v>
      </c>
      <c r="B245" s="73" t="s">
        <v>358</v>
      </c>
      <c r="C245" s="139" t="s">
        <v>359</v>
      </c>
      <c r="D245" s="168">
        <v>23926.960000000006</v>
      </c>
      <c r="E245" s="170">
        <v>214822.33</v>
      </c>
      <c r="F245" s="171">
        <f t="shared" si="93"/>
        <v>238749.28999999998</v>
      </c>
      <c r="G245" s="181">
        <v>185987.85</v>
      </c>
      <c r="H245" s="178">
        <v>52761.439999999973</v>
      </c>
      <c r="I245" s="170">
        <v>288044.77</v>
      </c>
      <c r="J245" s="171">
        <f t="shared" si="94"/>
        <v>340806.20999999996</v>
      </c>
      <c r="K245" s="202">
        <v>231282.86000000002</v>
      </c>
      <c r="L245" s="171">
        <v>109523.34999999995</v>
      </c>
      <c r="M245" s="197">
        <v>292542</v>
      </c>
      <c r="N245" s="171">
        <f t="shared" si="88"/>
        <v>402065.35</v>
      </c>
      <c r="O245" s="202">
        <v>378581.08</v>
      </c>
      <c r="P245" s="238">
        <v>23484.26999999996</v>
      </c>
      <c r="Q245" s="197">
        <v>322245.41000000003</v>
      </c>
      <c r="R245" s="171">
        <f t="shared" si="89"/>
        <v>345729.68</v>
      </c>
      <c r="S245" s="202">
        <v>333173.77999999997</v>
      </c>
      <c r="T245" s="238">
        <v>12555.900000000023</v>
      </c>
      <c r="U245" s="238">
        <v>329214.7</v>
      </c>
      <c r="V245" s="171">
        <f t="shared" si="90"/>
        <v>341770.60000000003</v>
      </c>
      <c r="W245" s="56">
        <v>333637.04999999993</v>
      </c>
      <c r="X245" s="568">
        <f t="shared" si="80"/>
        <v>8133.5500000001048</v>
      </c>
      <c r="Y245" s="569">
        <v>336069.66000000003</v>
      </c>
      <c r="Z245" s="171">
        <f t="shared" si="91"/>
        <v>344203.21000000014</v>
      </c>
      <c r="AA245" s="48">
        <v>284571.86000000004</v>
      </c>
      <c r="AB245" s="238">
        <f t="shared" si="81"/>
        <v>59631.350000000093</v>
      </c>
      <c r="AC245" s="238">
        <v>338510.66</v>
      </c>
      <c r="AD245" s="171">
        <f t="shared" si="92"/>
        <v>398142.01000000007</v>
      </c>
      <c r="AE245" s="238"/>
      <c r="AF245" s="238">
        <f t="shared" si="82"/>
        <v>0</v>
      </c>
      <c r="AG245" s="196">
        <v>238</v>
      </c>
      <c r="AH245" s="73" t="s">
        <v>358</v>
      </c>
      <c r="AI245" s="139" t="s">
        <v>359</v>
      </c>
      <c r="AJ245" s="238">
        <f t="shared" si="83"/>
        <v>0</v>
      </c>
      <c r="AK245" s="238"/>
      <c r="AL245" s="358" t="s">
        <v>358</v>
      </c>
      <c r="AM245" s="48">
        <v>284571.86000000004</v>
      </c>
      <c r="AN245" s="238" t="s">
        <v>358</v>
      </c>
      <c r="AO245" s="238">
        <v>338510.66</v>
      </c>
      <c r="AQ245" s="472">
        <f t="shared" si="84"/>
        <v>0</v>
      </c>
      <c r="AS245" t="s">
        <v>358</v>
      </c>
      <c r="AT245" t="s">
        <v>1759</v>
      </c>
      <c r="AU245" s="48">
        <v>263811.81</v>
      </c>
      <c r="AV245" s="48">
        <v>14868.24</v>
      </c>
      <c r="AW245" s="48">
        <v>2104.81</v>
      </c>
      <c r="AX245" s="48">
        <v>0</v>
      </c>
      <c r="AY245" s="48">
        <v>42162.62</v>
      </c>
      <c r="AZ245" s="48">
        <v>7103.94</v>
      </c>
      <c r="BA245" s="48">
        <v>0</v>
      </c>
      <c r="BB245" s="48">
        <v>6918.38</v>
      </c>
      <c r="BC245" s="48">
        <v>1540.86</v>
      </c>
      <c r="BD245" s="48">
        <v>0</v>
      </c>
      <c r="BE245" s="48"/>
      <c r="BF245" s="48">
        <f t="shared" si="79"/>
        <v>338510.66</v>
      </c>
      <c r="BG245" s="48"/>
      <c r="BH245" s="48"/>
      <c r="BI245" s="48" t="str">
        <f t="shared" si="85"/>
        <v>17407</v>
      </c>
      <c r="BJ245" s="48">
        <f t="shared" si="86"/>
        <v>338510.66</v>
      </c>
      <c r="BK245" s="628">
        <f t="shared" si="87"/>
        <v>0</v>
      </c>
    </row>
    <row r="246" spans="1:63">
      <c r="A246" s="196">
        <v>239</v>
      </c>
      <c r="B246" s="73" t="s">
        <v>652</v>
      </c>
      <c r="C246" s="139" t="s">
        <v>653</v>
      </c>
      <c r="D246" s="168">
        <v>5328.1700000000055</v>
      </c>
      <c r="E246" s="170">
        <v>138949.5</v>
      </c>
      <c r="F246" s="171">
        <f t="shared" si="93"/>
        <v>144277.67000000001</v>
      </c>
      <c r="G246" s="181">
        <v>134347.84</v>
      </c>
      <c r="H246" s="178">
        <v>9929.8300000000163</v>
      </c>
      <c r="I246" s="170">
        <v>199153.32</v>
      </c>
      <c r="J246" s="171">
        <f t="shared" si="94"/>
        <v>209083.15000000002</v>
      </c>
      <c r="K246" s="202">
        <v>241162.4</v>
      </c>
      <c r="L246" s="171">
        <v>0</v>
      </c>
      <c r="M246" s="197">
        <v>197274.45</v>
      </c>
      <c r="N246" s="171">
        <f t="shared" si="88"/>
        <v>197274.45</v>
      </c>
      <c r="O246" s="202">
        <v>145573.5</v>
      </c>
      <c r="P246" s="238">
        <v>51700.950000000012</v>
      </c>
      <c r="Q246" s="197">
        <v>215097.58000000002</v>
      </c>
      <c r="R246" s="171">
        <f t="shared" si="89"/>
        <v>266798.53000000003</v>
      </c>
      <c r="S246" s="202">
        <v>254578.34</v>
      </c>
      <c r="T246" s="238">
        <v>12220.190000000031</v>
      </c>
      <c r="U246" s="238">
        <v>221926.08000000002</v>
      </c>
      <c r="V246" s="171">
        <f t="shared" si="90"/>
        <v>234146.27000000005</v>
      </c>
      <c r="W246" s="56">
        <v>236173.19999999998</v>
      </c>
      <c r="X246" s="568">
        <f t="shared" si="80"/>
        <v>0</v>
      </c>
      <c r="Y246" s="569">
        <v>239189.07</v>
      </c>
      <c r="Z246" s="171">
        <f t="shared" si="91"/>
        <v>239189.07</v>
      </c>
      <c r="AA246" s="48">
        <v>240387.78</v>
      </c>
      <c r="AB246" s="238">
        <f t="shared" si="81"/>
        <v>0</v>
      </c>
      <c r="AC246" s="238">
        <v>231219.36999999997</v>
      </c>
      <c r="AD246" s="171">
        <f t="shared" si="92"/>
        <v>231219.36999999997</v>
      </c>
      <c r="AE246" s="238"/>
      <c r="AF246" s="238">
        <f t="shared" si="82"/>
        <v>0</v>
      </c>
      <c r="AG246" s="196">
        <v>239</v>
      </c>
      <c r="AH246" s="73" t="s">
        <v>652</v>
      </c>
      <c r="AI246" s="139" t="s">
        <v>653</v>
      </c>
      <c r="AJ246" s="238">
        <f t="shared" si="83"/>
        <v>0</v>
      </c>
      <c r="AK246" s="238"/>
      <c r="AL246" s="358" t="s">
        <v>652</v>
      </c>
      <c r="AM246" s="48">
        <v>240387.78</v>
      </c>
      <c r="AN246" s="238" t="s">
        <v>652</v>
      </c>
      <c r="AO246" s="238">
        <v>231219.36999999997</v>
      </c>
      <c r="AQ246" s="472">
        <f t="shared" si="84"/>
        <v>0</v>
      </c>
      <c r="AS246" t="s">
        <v>652</v>
      </c>
      <c r="AT246" t="s">
        <v>1910</v>
      </c>
      <c r="AU246" s="48">
        <v>159475.22</v>
      </c>
      <c r="AV246" s="48">
        <v>11211.15</v>
      </c>
      <c r="AW246" s="48">
        <v>0</v>
      </c>
      <c r="AX246" s="48">
        <v>0</v>
      </c>
      <c r="AY246" s="48">
        <v>29167.37</v>
      </c>
      <c r="AZ246" s="48">
        <v>11648.99</v>
      </c>
      <c r="BA246" s="48">
        <v>9506.0499999999993</v>
      </c>
      <c r="BB246" s="48">
        <v>5674.95</v>
      </c>
      <c r="BC246" s="48">
        <v>903.43</v>
      </c>
      <c r="BD246" s="48">
        <v>3632.21</v>
      </c>
      <c r="BE246" s="48"/>
      <c r="BF246" s="48">
        <f t="shared" si="79"/>
        <v>231219.36999999997</v>
      </c>
      <c r="BG246" s="48"/>
      <c r="BH246" s="48"/>
      <c r="BI246" s="48" t="str">
        <f t="shared" si="85"/>
        <v>34401</v>
      </c>
      <c r="BJ246" s="48">
        <f t="shared" si="86"/>
        <v>231219.36999999997</v>
      </c>
      <c r="BK246" s="628">
        <f t="shared" si="87"/>
        <v>0</v>
      </c>
    </row>
    <row r="247" spans="1:63">
      <c r="A247" s="196">
        <v>240</v>
      </c>
      <c r="B247" s="73" t="s">
        <v>408</v>
      </c>
      <c r="C247" s="139" t="s">
        <v>409</v>
      </c>
      <c r="D247" s="168">
        <v>497.34000000000003</v>
      </c>
      <c r="E247" s="170">
        <v>2728.14</v>
      </c>
      <c r="F247" s="171">
        <f t="shared" si="93"/>
        <v>3225.48</v>
      </c>
      <c r="G247" s="181">
        <v>755.24</v>
      </c>
      <c r="H247" s="178">
        <v>2470.2399999999998</v>
      </c>
      <c r="I247" s="170">
        <v>4082.1</v>
      </c>
      <c r="J247" s="171">
        <f t="shared" si="94"/>
        <v>6552.34</v>
      </c>
      <c r="K247" s="202">
        <v>2111.2600000000002</v>
      </c>
      <c r="L247" s="171">
        <v>4441.08</v>
      </c>
      <c r="M247" s="197">
        <v>4210.38</v>
      </c>
      <c r="N247" s="171">
        <f t="shared" si="88"/>
        <v>8651.4599999999991</v>
      </c>
      <c r="O247" s="202">
        <v>3708.66</v>
      </c>
      <c r="P247" s="238">
        <v>4942.7999999999993</v>
      </c>
      <c r="Q247" s="197">
        <v>4456.18</v>
      </c>
      <c r="R247" s="171">
        <f t="shared" si="89"/>
        <v>9398.98</v>
      </c>
      <c r="S247" s="202">
        <v>3950.56</v>
      </c>
      <c r="T247" s="238">
        <v>5448.42</v>
      </c>
      <c r="U247" s="238">
        <v>4011.5</v>
      </c>
      <c r="V247" s="171">
        <f t="shared" si="90"/>
        <v>9459.92</v>
      </c>
      <c r="W247" s="56">
        <v>4078.9</v>
      </c>
      <c r="X247" s="568">
        <f t="shared" si="80"/>
        <v>5381.02</v>
      </c>
      <c r="Y247" s="569">
        <v>4668.6900000000005</v>
      </c>
      <c r="Z247" s="171">
        <f t="shared" si="91"/>
        <v>10049.710000000001</v>
      </c>
      <c r="AA247" s="48">
        <v>10042.030000000001</v>
      </c>
      <c r="AB247" s="238">
        <f t="shared" si="81"/>
        <v>7.680000000000291</v>
      </c>
      <c r="AC247" s="238">
        <v>4449.3100000000004</v>
      </c>
      <c r="AD247" s="171">
        <f t="shared" si="92"/>
        <v>4456.9900000000007</v>
      </c>
      <c r="AE247" s="238"/>
      <c r="AF247" s="238">
        <f t="shared" si="82"/>
        <v>0</v>
      </c>
      <c r="AG247" s="196">
        <v>240</v>
      </c>
      <c r="AH247" s="73" t="s">
        <v>408</v>
      </c>
      <c r="AI247" s="139" t="s">
        <v>409</v>
      </c>
      <c r="AJ247" s="238">
        <f t="shared" si="83"/>
        <v>0</v>
      </c>
      <c r="AK247" s="238"/>
      <c r="AL247" s="358" t="s">
        <v>408</v>
      </c>
      <c r="AM247" s="48">
        <v>10042.030000000001</v>
      </c>
      <c r="AN247" s="238" t="s">
        <v>408</v>
      </c>
      <c r="AO247" s="238">
        <v>4449.3100000000004</v>
      </c>
      <c r="AQ247" s="472">
        <f t="shared" si="84"/>
        <v>0</v>
      </c>
      <c r="AS247" t="s">
        <v>408</v>
      </c>
      <c r="AT247" t="s">
        <v>1787</v>
      </c>
      <c r="AU247" s="48">
        <v>4125.55</v>
      </c>
      <c r="AV247" s="48">
        <v>0</v>
      </c>
      <c r="AW247" s="48">
        <v>0</v>
      </c>
      <c r="AX247" s="48">
        <v>0</v>
      </c>
      <c r="AY247" s="48">
        <v>0</v>
      </c>
      <c r="AZ247" s="48">
        <v>87.88</v>
      </c>
      <c r="BA247" s="48">
        <v>0</v>
      </c>
      <c r="BB247" s="48">
        <v>235.88</v>
      </c>
      <c r="BC247" s="48">
        <v>0</v>
      </c>
      <c r="BD247" s="48">
        <v>0</v>
      </c>
      <c r="BE247" s="48"/>
      <c r="BF247" s="48">
        <f t="shared" si="79"/>
        <v>4449.3100000000004</v>
      </c>
      <c r="BG247" s="48"/>
      <c r="BH247" s="48"/>
      <c r="BI247" s="48" t="str">
        <f t="shared" si="85"/>
        <v>20403</v>
      </c>
      <c r="BJ247" s="48">
        <f t="shared" si="86"/>
        <v>4449.3100000000004</v>
      </c>
      <c r="BK247" s="628">
        <f t="shared" si="87"/>
        <v>0</v>
      </c>
    </row>
    <row r="248" spans="1:63">
      <c r="A248" s="196">
        <v>241</v>
      </c>
      <c r="B248" s="290" t="s">
        <v>2307</v>
      </c>
      <c r="C248" s="295" t="s">
        <v>2306</v>
      </c>
      <c r="D248" s="168"/>
      <c r="E248" s="170"/>
      <c r="F248" s="171"/>
      <c r="G248" s="181"/>
      <c r="H248" s="178"/>
      <c r="I248" s="170"/>
      <c r="J248" s="171"/>
      <c r="K248" s="202"/>
      <c r="L248" s="171"/>
      <c r="M248" s="197"/>
      <c r="N248" s="171"/>
      <c r="O248" s="202"/>
      <c r="P248" s="238"/>
      <c r="Q248" s="197"/>
      <c r="R248" s="171"/>
      <c r="S248" s="202">
        <v>0</v>
      </c>
      <c r="T248" s="238">
        <v>0</v>
      </c>
      <c r="U248" s="238">
        <v>14612.630000000001</v>
      </c>
      <c r="V248" s="171"/>
      <c r="W248" s="56">
        <v>14296</v>
      </c>
      <c r="X248" s="568">
        <f t="shared" si="80"/>
        <v>0</v>
      </c>
      <c r="Y248" s="569">
        <v>15826.8</v>
      </c>
      <c r="Z248" s="171"/>
      <c r="AA248" s="48">
        <v>14100.5</v>
      </c>
      <c r="AB248" s="238">
        <f t="shared" si="81"/>
        <v>0</v>
      </c>
      <c r="AC248" s="238">
        <v>17616.319999999996</v>
      </c>
      <c r="AD248" s="171"/>
      <c r="AE248" s="238"/>
      <c r="AF248" s="238">
        <f t="shared" si="82"/>
        <v>0</v>
      </c>
      <c r="AG248" s="196">
        <v>241</v>
      </c>
      <c r="AH248" s="290" t="s">
        <v>2307</v>
      </c>
      <c r="AI248" s="295" t="s">
        <v>2306</v>
      </c>
      <c r="AJ248" s="238">
        <f t="shared" si="83"/>
        <v>0</v>
      </c>
      <c r="AK248" s="238"/>
      <c r="AL248" s="358" t="s">
        <v>2307</v>
      </c>
      <c r="AM248" s="48">
        <v>14100.5</v>
      </c>
      <c r="AN248" s="238" t="s">
        <v>2307</v>
      </c>
      <c r="AO248" s="238">
        <v>17616.319999999996</v>
      </c>
      <c r="AQ248" s="472">
        <f t="shared" si="84"/>
        <v>0</v>
      </c>
      <c r="AS248" t="s">
        <v>2307</v>
      </c>
      <c r="AT248" t="s">
        <v>2391</v>
      </c>
      <c r="AU248" s="48">
        <v>14240.31</v>
      </c>
      <c r="AV248" s="48">
        <v>642.24</v>
      </c>
      <c r="AW248" s="48">
        <v>0</v>
      </c>
      <c r="AX248" s="48">
        <v>0</v>
      </c>
      <c r="AY248" s="48">
        <v>2075.19</v>
      </c>
      <c r="AZ248" s="48">
        <v>370.96</v>
      </c>
      <c r="BA248" s="48">
        <v>256.57</v>
      </c>
      <c r="BB248" s="48">
        <v>0</v>
      </c>
      <c r="BC248" s="48">
        <v>31.05</v>
      </c>
      <c r="BD248" s="48">
        <v>0</v>
      </c>
      <c r="BE248" s="48"/>
      <c r="BF248" s="48">
        <f t="shared" si="79"/>
        <v>17616.319999999996</v>
      </c>
      <c r="BG248" s="48"/>
      <c r="BH248" s="48"/>
      <c r="BI248" s="48" t="str">
        <f t="shared" si="85"/>
        <v>06901</v>
      </c>
      <c r="BJ248" s="48">
        <f t="shared" si="86"/>
        <v>17616.319999999996</v>
      </c>
      <c r="BK248" s="628">
        <f t="shared" si="87"/>
        <v>0</v>
      </c>
    </row>
    <row r="249" spans="1:63">
      <c r="A249" s="196">
        <v>242</v>
      </c>
      <c r="B249" s="73" t="s">
        <v>705</v>
      </c>
      <c r="C249" s="139" t="s">
        <v>706</v>
      </c>
      <c r="D249" s="168">
        <v>1493.67</v>
      </c>
      <c r="E249" s="170">
        <v>18691.21</v>
      </c>
      <c r="F249" s="171">
        <f t="shared" ref="F249:F280" si="95">+D249+E249</f>
        <v>20184.879999999997</v>
      </c>
      <c r="G249" s="181">
        <v>20261.78</v>
      </c>
      <c r="H249" s="178">
        <v>0</v>
      </c>
      <c r="I249" s="170">
        <v>27156.05</v>
      </c>
      <c r="J249" s="171">
        <f t="shared" ref="J249:J280" si="96">+H249+I249</f>
        <v>27156.05</v>
      </c>
      <c r="K249" s="202">
        <v>22758.06</v>
      </c>
      <c r="L249" s="171">
        <v>4397.989999999998</v>
      </c>
      <c r="M249" s="197">
        <v>25809.1</v>
      </c>
      <c r="N249" s="171">
        <f t="shared" ref="N249:N280" si="97">+L249+M249</f>
        <v>30207.089999999997</v>
      </c>
      <c r="O249" s="202">
        <v>25939.53</v>
      </c>
      <c r="P249" s="238">
        <v>4267.5599999999977</v>
      </c>
      <c r="Q249" s="197">
        <v>27100.699999999997</v>
      </c>
      <c r="R249" s="171">
        <f t="shared" ref="R249:R280" si="98">+P249+Q249</f>
        <v>31368.259999999995</v>
      </c>
      <c r="S249" s="202">
        <v>28105.42</v>
      </c>
      <c r="T249" s="238">
        <v>3262.8399999999965</v>
      </c>
      <c r="U249" s="238">
        <v>27732.15</v>
      </c>
      <c r="V249" s="171">
        <f t="shared" ref="V249:V280" si="99">+T249+U249</f>
        <v>30994.989999999998</v>
      </c>
      <c r="W249" s="56">
        <v>29802.02</v>
      </c>
      <c r="X249" s="568">
        <f t="shared" si="80"/>
        <v>1192.9699999999975</v>
      </c>
      <c r="Y249" s="569">
        <v>28992.150000000005</v>
      </c>
      <c r="Z249" s="171">
        <f t="shared" ref="Z249:Z280" si="100">+X249+Y249</f>
        <v>30185.120000000003</v>
      </c>
      <c r="AA249" s="48">
        <v>28668.760000000002</v>
      </c>
      <c r="AB249" s="238">
        <f t="shared" si="81"/>
        <v>1516.3600000000006</v>
      </c>
      <c r="AC249" s="238">
        <v>28735.890000000003</v>
      </c>
      <c r="AD249" s="171">
        <f t="shared" ref="AD249:AD280" si="101">+AB249+AC249</f>
        <v>30252.250000000004</v>
      </c>
      <c r="AE249" s="238"/>
      <c r="AF249" s="238">
        <f t="shared" si="82"/>
        <v>0</v>
      </c>
      <c r="AG249" s="196">
        <v>242</v>
      </c>
      <c r="AH249" s="73" t="s">
        <v>705</v>
      </c>
      <c r="AI249" s="139" t="s">
        <v>706</v>
      </c>
      <c r="AJ249" s="238">
        <f t="shared" si="83"/>
        <v>0</v>
      </c>
      <c r="AK249" s="238"/>
      <c r="AL249" s="358" t="s">
        <v>705</v>
      </c>
      <c r="AM249" s="48">
        <v>28668.760000000002</v>
      </c>
      <c r="AN249" s="238" t="s">
        <v>705</v>
      </c>
      <c r="AO249" s="238">
        <v>28735.890000000003</v>
      </c>
      <c r="AQ249" s="472">
        <f t="shared" si="84"/>
        <v>0</v>
      </c>
      <c r="AS249" t="s">
        <v>705</v>
      </c>
      <c r="AT249" t="s">
        <v>1939</v>
      </c>
      <c r="AU249" s="48">
        <v>22208.06</v>
      </c>
      <c r="AV249" s="48">
        <v>525.9</v>
      </c>
      <c r="AW249" s="48">
        <v>299.83</v>
      </c>
      <c r="AX249" s="48">
        <v>0</v>
      </c>
      <c r="AY249" s="48">
        <v>3048.54</v>
      </c>
      <c r="AZ249" s="48">
        <v>949.19</v>
      </c>
      <c r="BA249" s="48">
        <v>684.63</v>
      </c>
      <c r="BB249" s="48">
        <v>0</v>
      </c>
      <c r="BC249" s="48">
        <v>62.53</v>
      </c>
      <c r="BD249" s="48">
        <v>957.21</v>
      </c>
      <c r="BE249" s="48"/>
      <c r="BF249" s="48">
        <f t="shared" si="79"/>
        <v>28735.890000000003</v>
      </c>
      <c r="BG249" s="48"/>
      <c r="BH249" s="48"/>
      <c r="BI249" s="48" t="str">
        <f t="shared" si="85"/>
        <v>38320</v>
      </c>
      <c r="BJ249" s="48">
        <f t="shared" si="86"/>
        <v>28735.890000000003</v>
      </c>
      <c r="BK249" s="628">
        <f t="shared" si="87"/>
        <v>0</v>
      </c>
    </row>
    <row r="250" spans="1:63">
      <c r="A250" s="196">
        <v>243</v>
      </c>
      <c r="B250" s="73" t="s">
        <v>287</v>
      </c>
      <c r="C250" s="139" t="s">
        <v>288</v>
      </c>
      <c r="D250" s="168">
        <v>7750.9299999999857</v>
      </c>
      <c r="E250" s="170">
        <v>122833.44000000002</v>
      </c>
      <c r="F250" s="171">
        <f t="shared" si="95"/>
        <v>130584.37</v>
      </c>
      <c r="G250" s="181">
        <v>135755.6</v>
      </c>
      <c r="H250" s="178">
        <v>0</v>
      </c>
      <c r="I250" s="170">
        <v>182292.43</v>
      </c>
      <c r="J250" s="171">
        <f t="shared" si="96"/>
        <v>182292.43</v>
      </c>
      <c r="K250" s="202">
        <v>202137.95999999996</v>
      </c>
      <c r="L250" s="171">
        <v>0</v>
      </c>
      <c r="M250" s="197">
        <v>186093.03000000003</v>
      </c>
      <c r="N250" s="171">
        <f t="shared" si="97"/>
        <v>186093.03000000003</v>
      </c>
      <c r="O250" s="202">
        <v>202307.72000000003</v>
      </c>
      <c r="P250" s="238">
        <v>0</v>
      </c>
      <c r="Q250" s="197">
        <v>199938.52000000002</v>
      </c>
      <c r="R250" s="171">
        <f t="shared" si="98"/>
        <v>199938.52000000002</v>
      </c>
      <c r="S250" s="202">
        <v>185828.08000000002</v>
      </c>
      <c r="T250" s="238">
        <v>14110.440000000002</v>
      </c>
      <c r="U250" s="238">
        <v>196016.11000000002</v>
      </c>
      <c r="V250" s="171">
        <f t="shared" si="99"/>
        <v>210126.55000000002</v>
      </c>
      <c r="W250" s="56">
        <v>265948.94999999995</v>
      </c>
      <c r="X250" s="568">
        <f t="shared" si="80"/>
        <v>0</v>
      </c>
      <c r="Y250" s="569">
        <v>209031.71</v>
      </c>
      <c r="Z250" s="171">
        <f t="shared" si="100"/>
        <v>209031.71</v>
      </c>
      <c r="AA250" s="48">
        <v>250584.03000000006</v>
      </c>
      <c r="AB250" s="238">
        <f t="shared" si="81"/>
        <v>0</v>
      </c>
      <c r="AC250" s="238">
        <v>209839.19</v>
      </c>
      <c r="AD250" s="171">
        <f t="shared" si="101"/>
        <v>209839.19</v>
      </c>
      <c r="AE250" s="238"/>
      <c r="AF250" s="238">
        <f t="shared" si="82"/>
        <v>0</v>
      </c>
      <c r="AG250" s="196">
        <v>243</v>
      </c>
      <c r="AH250" s="73" t="s">
        <v>287</v>
      </c>
      <c r="AI250" s="139" t="s">
        <v>288</v>
      </c>
      <c r="AJ250" s="238">
        <f t="shared" si="83"/>
        <v>0</v>
      </c>
      <c r="AK250" s="238"/>
      <c r="AL250" s="358" t="s">
        <v>287</v>
      </c>
      <c r="AM250" s="48">
        <v>250584.03000000006</v>
      </c>
      <c r="AN250" s="238" t="s">
        <v>287</v>
      </c>
      <c r="AO250" s="238">
        <v>209839.19</v>
      </c>
      <c r="AQ250" s="472">
        <f t="shared" si="84"/>
        <v>0</v>
      </c>
      <c r="AS250" t="s">
        <v>287</v>
      </c>
      <c r="AT250" t="s">
        <v>1723</v>
      </c>
      <c r="AU250" s="48">
        <v>130190.87</v>
      </c>
      <c r="AV250" s="48">
        <v>10369.379999999999</v>
      </c>
      <c r="AW250" s="48">
        <v>2844.41</v>
      </c>
      <c r="AX250" s="48">
        <v>0</v>
      </c>
      <c r="AY250" s="48">
        <v>22189.64</v>
      </c>
      <c r="AZ250" s="48">
        <v>11590.41</v>
      </c>
      <c r="BA250" s="48">
        <v>7805.57</v>
      </c>
      <c r="BB250" s="48">
        <v>19047.54</v>
      </c>
      <c r="BC250" s="48">
        <v>744.63</v>
      </c>
      <c r="BD250" s="48">
        <v>5056.74</v>
      </c>
      <c r="BE250" s="48"/>
      <c r="BF250" s="48">
        <f t="shared" si="79"/>
        <v>209839.19</v>
      </c>
      <c r="BG250" s="48"/>
      <c r="BH250" s="48"/>
      <c r="BI250" s="48" t="str">
        <f t="shared" si="85"/>
        <v>13160</v>
      </c>
      <c r="BJ250" s="48">
        <f t="shared" si="86"/>
        <v>209839.19</v>
      </c>
      <c r="BK250" s="628">
        <f t="shared" si="87"/>
        <v>0</v>
      </c>
    </row>
    <row r="251" spans="1:63">
      <c r="A251" s="196">
        <v>244</v>
      </c>
      <c r="B251" s="73" t="s">
        <v>541</v>
      </c>
      <c r="C251" s="139" t="s">
        <v>542</v>
      </c>
      <c r="D251" s="168">
        <v>2606.3599999999969</v>
      </c>
      <c r="E251" s="170">
        <v>54049.679999999993</v>
      </c>
      <c r="F251" s="171">
        <f t="shared" si="95"/>
        <v>56656.039999999994</v>
      </c>
      <c r="G251" s="181">
        <v>102950.93</v>
      </c>
      <c r="H251" s="178">
        <v>0</v>
      </c>
      <c r="I251" s="170">
        <v>71628.490000000005</v>
      </c>
      <c r="J251" s="171">
        <f t="shared" si="96"/>
        <v>71628.490000000005</v>
      </c>
      <c r="K251" s="202">
        <v>13547.11</v>
      </c>
      <c r="L251" s="171">
        <v>58081.380000000005</v>
      </c>
      <c r="M251" s="197">
        <v>75736.63</v>
      </c>
      <c r="N251" s="171">
        <f t="shared" si="97"/>
        <v>133818.01</v>
      </c>
      <c r="O251" s="202">
        <v>47463.11</v>
      </c>
      <c r="P251" s="238">
        <v>86354.900000000009</v>
      </c>
      <c r="Q251" s="197">
        <v>82690.38</v>
      </c>
      <c r="R251" s="171">
        <f t="shared" si="98"/>
        <v>169045.28000000003</v>
      </c>
      <c r="S251" s="202">
        <v>108782.04</v>
      </c>
      <c r="T251" s="238">
        <v>60263.240000000034</v>
      </c>
      <c r="U251" s="238">
        <v>86583.360000000001</v>
      </c>
      <c r="V251" s="171">
        <f t="shared" si="99"/>
        <v>146846.60000000003</v>
      </c>
      <c r="W251" s="56">
        <v>108205.37</v>
      </c>
      <c r="X251" s="568">
        <f t="shared" si="80"/>
        <v>38641.23000000004</v>
      </c>
      <c r="Y251" s="569">
        <v>96161.790000000008</v>
      </c>
      <c r="Z251" s="171">
        <f t="shared" si="100"/>
        <v>134803.02000000005</v>
      </c>
      <c r="AA251" s="48">
        <v>125321.24999999999</v>
      </c>
      <c r="AB251" s="238">
        <f t="shared" si="81"/>
        <v>9481.7700000000623</v>
      </c>
      <c r="AC251" s="238">
        <v>95224.13</v>
      </c>
      <c r="AD251" s="171">
        <f t="shared" si="101"/>
        <v>104705.90000000007</v>
      </c>
      <c r="AE251" s="238"/>
      <c r="AF251" s="238">
        <f t="shared" si="82"/>
        <v>0</v>
      </c>
      <c r="AG251" s="196">
        <v>244</v>
      </c>
      <c r="AH251" s="73" t="s">
        <v>541</v>
      </c>
      <c r="AI251" s="139" t="s">
        <v>542</v>
      </c>
      <c r="AJ251" s="238">
        <f t="shared" si="83"/>
        <v>0</v>
      </c>
      <c r="AK251" s="238"/>
      <c r="AL251" s="358" t="s">
        <v>541</v>
      </c>
      <c r="AM251" s="48">
        <v>125321.24999999999</v>
      </c>
      <c r="AN251" s="238" t="s">
        <v>541</v>
      </c>
      <c r="AO251" s="238">
        <v>95224.13</v>
      </c>
      <c r="AQ251" s="472">
        <f t="shared" si="84"/>
        <v>0</v>
      </c>
      <c r="AS251" t="s">
        <v>541</v>
      </c>
      <c r="AT251" t="s">
        <v>1852</v>
      </c>
      <c r="AU251" s="48">
        <v>71505.679999999993</v>
      </c>
      <c r="AV251" s="48">
        <v>2312.0300000000002</v>
      </c>
      <c r="AW251" s="48">
        <v>0</v>
      </c>
      <c r="AX251" s="48">
        <v>0</v>
      </c>
      <c r="AY251" s="48">
        <v>13237.44</v>
      </c>
      <c r="AZ251" s="48">
        <v>3529.35</v>
      </c>
      <c r="BA251" s="48">
        <v>0</v>
      </c>
      <c r="BB251" s="48">
        <v>2099.66</v>
      </c>
      <c r="BC251" s="48">
        <v>393.69</v>
      </c>
      <c r="BD251" s="48">
        <v>2146.2800000000002</v>
      </c>
      <c r="BE251" s="48"/>
      <c r="BF251" s="48">
        <f t="shared" si="79"/>
        <v>95224.13</v>
      </c>
      <c r="BG251" s="48"/>
      <c r="BH251" s="48"/>
      <c r="BI251" s="48" t="str">
        <f t="shared" si="85"/>
        <v>28149</v>
      </c>
      <c r="BJ251" s="48">
        <f t="shared" si="86"/>
        <v>95224.13</v>
      </c>
      <c r="BK251" s="628">
        <f t="shared" si="87"/>
        <v>0</v>
      </c>
    </row>
    <row r="252" spans="1:63">
      <c r="A252" s="196">
        <v>245</v>
      </c>
      <c r="B252" s="73" t="s">
        <v>314</v>
      </c>
      <c r="C252" s="139" t="s">
        <v>315</v>
      </c>
      <c r="D252" s="168">
        <v>177.67999999999984</v>
      </c>
      <c r="E252" s="170">
        <v>4348.53</v>
      </c>
      <c r="F252" s="171">
        <f t="shared" si="95"/>
        <v>4526.2099999999991</v>
      </c>
      <c r="G252" s="181">
        <v>637.66</v>
      </c>
      <c r="H252" s="178">
        <v>3888.5499999999993</v>
      </c>
      <c r="I252" s="170">
        <v>6202.24</v>
      </c>
      <c r="J252" s="171">
        <f t="shared" si="96"/>
        <v>10090.789999999999</v>
      </c>
      <c r="K252" s="202">
        <v>3701.81</v>
      </c>
      <c r="L252" s="171">
        <v>6388.98</v>
      </c>
      <c r="M252" s="197">
        <v>6293.8799999999992</v>
      </c>
      <c r="N252" s="171">
        <f t="shared" si="97"/>
        <v>12682.859999999999</v>
      </c>
      <c r="O252" s="202">
        <v>2572.4299999999998</v>
      </c>
      <c r="P252" s="238">
        <v>10110.429999999998</v>
      </c>
      <c r="Q252" s="197">
        <v>6810.9</v>
      </c>
      <c r="R252" s="171">
        <f t="shared" si="98"/>
        <v>16921.329999999998</v>
      </c>
      <c r="S252" s="202">
        <v>87.69</v>
      </c>
      <c r="T252" s="238">
        <v>16833.64</v>
      </c>
      <c r="U252" s="238">
        <v>7508.44</v>
      </c>
      <c r="V252" s="171">
        <f t="shared" si="99"/>
        <v>24342.079999999998</v>
      </c>
      <c r="W252" s="56">
        <v>80.150000000000006</v>
      </c>
      <c r="X252" s="568">
        <f t="shared" si="80"/>
        <v>24261.929999999997</v>
      </c>
      <c r="Y252" s="569">
        <v>9076.06</v>
      </c>
      <c r="Z252" s="171">
        <f t="shared" si="100"/>
        <v>33337.99</v>
      </c>
      <c r="AA252" s="48">
        <v>9101.83</v>
      </c>
      <c r="AB252" s="238">
        <f t="shared" si="81"/>
        <v>24236.159999999996</v>
      </c>
      <c r="AC252" s="238">
        <v>9938.7199999999975</v>
      </c>
      <c r="AD252" s="171">
        <f t="shared" si="101"/>
        <v>34174.87999999999</v>
      </c>
      <c r="AE252" s="238"/>
      <c r="AF252" s="238">
        <f t="shared" si="82"/>
        <v>0</v>
      </c>
      <c r="AG252" s="196">
        <v>245</v>
      </c>
      <c r="AH252" s="73" t="s">
        <v>314</v>
      </c>
      <c r="AI252" s="139" t="s">
        <v>315</v>
      </c>
      <c r="AJ252" s="238">
        <f t="shared" si="83"/>
        <v>0</v>
      </c>
      <c r="AK252" s="238"/>
      <c r="AL252" s="358" t="s">
        <v>314</v>
      </c>
      <c r="AM252" s="48">
        <v>9101.83</v>
      </c>
      <c r="AN252" s="238" t="s">
        <v>314</v>
      </c>
      <c r="AO252" s="238">
        <v>9938.7199999999975</v>
      </c>
      <c r="AQ252" s="472">
        <f t="shared" si="84"/>
        <v>0</v>
      </c>
      <c r="AS252" t="s">
        <v>314</v>
      </c>
      <c r="AT252" t="s">
        <v>1737</v>
      </c>
      <c r="AU252" s="48">
        <v>7538.86</v>
      </c>
      <c r="AV252" s="48">
        <v>0</v>
      </c>
      <c r="AW252" s="48">
        <v>0</v>
      </c>
      <c r="AX252" s="48">
        <v>0</v>
      </c>
      <c r="AY252" s="48">
        <v>1730.77</v>
      </c>
      <c r="AZ252" s="48">
        <v>386.96</v>
      </c>
      <c r="BA252" s="48">
        <v>282.13</v>
      </c>
      <c r="BB252" s="48">
        <v>0</v>
      </c>
      <c r="BC252" s="48">
        <v>0</v>
      </c>
      <c r="BD252" s="48">
        <v>0</v>
      </c>
      <c r="BE252" s="48"/>
      <c r="BF252" s="48">
        <f t="shared" si="79"/>
        <v>9938.7199999999975</v>
      </c>
      <c r="BG252" s="48"/>
      <c r="BH252" s="48"/>
      <c r="BI252" s="48" t="str">
        <f t="shared" si="85"/>
        <v>14104</v>
      </c>
      <c r="BJ252" s="48">
        <f t="shared" si="86"/>
        <v>9938.7199999999975</v>
      </c>
      <c r="BK252" s="628">
        <f t="shared" si="87"/>
        <v>0</v>
      </c>
    </row>
    <row r="253" spans="1:63">
      <c r="A253" s="196">
        <v>246</v>
      </c>
      <c r="B253" s="73" t="s">
        <v>338</v>
      </c>
      <c r="C253" s="139" t="s">
        <v>339</v>
      </c>
      <c r="D253" s="168">
        <v>85696.029999999795</v>
      </c>
      <c r="E253" s="170">
        <v>4006125.8599999994</v>
      </c>
      <c r="F253" s="171">
        <f t="shared" si="95"/>
        <v>4091821.8899999992</v>
      </c>
      <c r="G253" s="181">
        <v>3949713.35</v>
      </c>
      <c r="H253" s="178">
        <v>142108.53999999911</v>
      </c>
      <c r="I253" s="170">
        <v>5715357.5499999989</v>
      </c>
      <c r="J253" s="171">
        <f t="shared" si="96"/>
        <v>5857466.089999998</v>
      </c>
      <c r="K253" s="202">
        <v>5978305.4299999997</v>
      </c>
      <c r="L253" s="171">
        <v>0</v>
      </c>
      <c r="M253" s="197">
        <v>5619358.6300000008</v>
      </c>
      <c r="N253" s="171">
        <f t="shared" si="97"/>
        <v>5619358.6300000008</v>
      </c>
      <c r="O253" s="202">
        <v>5920582.790000001</v>
      </c>
      <c r="P253" s="238">
        <v>0</v>
      </c>
      <c r="Q253" s="197">
        <v>6022197.8699999992</v>
      </c>
      <c r="R253" s="171">
        <f t="shared" si="98"/>
        <v>6022197.8699999992</v>
      </c>
      <c r="S253" s="202">
        <v>6476166.1000000006</v>
      </c>
      <c r="T253" s="238">
        <v>0</v>
      </c>
      <c r="U253" s="238">
        <v>6164419.4900000002</v>
      </c>
      <c r="V253" s="171">
        <f t="shared" si="99"/>
        <v>6164419.4900000002</v>
      </c>
      <c r="W253" s="56">
        <v>6501022.2599999998</v>
      </c>
      <c r="X253" s="568">
        <f t="shared" si="80"/>
        <v>0</v>
      </c>
      <c r="Y253" s="569">
        <v>6586205.9000000013</v>
      </c>
      <c r="Z253" s="171">
        <f t="shared" si="100"/>
        <v>6586205.9000000013</v>
      </c>
      <c r="AA253" s="48">
        <v>6806608.4899999937</v>
      </c>
      <c r="AB253" s="238">
        <f t="shared" si="81"/>
        <v>0</v>
      </c>
      <c r="AC253" s="238">
        <v>6347896.4699999997</v>
      </c>
      <c r="AD253" s="171">
        <f t="shared" si="101"/>
        <v>6347896.4699999997</v>
      </c>
      <c r="AE253" s="238"/>
      <c r="AF253" s="238">
        <f t="shared" si="82"/>
        <v>0</v>
      </c>
      <c r="AG253" s="196">
        <v>246</v>
      </c>
      <c r="AH253" s="73" t="s">
        <v>338</v>
      </c>
      <c r="AI253" s="139" t="s">
        <v>339</v>
      </c>
      <c r="AJ253" s="238">
        <f t="shared" si="83"/>
        <v>0</v>
      </c>
      <c r="AK253" s="238"/>
      <c r="AL253" s="358" t="s">
        <v>338</v>
      </c>
      <c r="AM253" s="48">
        <v>6806608.4899999937</v>
      </c>
      <c r="AN253" s="238" t="s">
        <v>338</v>
      </c>
      <c r="AO253" s="238">
        <v>6347896.4699999997</v>
      </c>
      <c r="AQ253" s="472">
        <f t="shared" si="84"/>
        <v>0</v>
      </c>
      <c r="AS253" t="s">
        <v>338</v>
      </c>
      <c r="AT253" t="s">
        <v>1749</v>
      </c>
      <c r="AU253" s="48">
        <v>4751734.28</v>
      </c>
      <c r="AV253" s="48">
        <v>195204.65</v>
      </c>
      <c r="AW253" s="48">
        <v>52105.27</v>
      </c>
      <c r="AX253" s="48">
        <v>24395.35</v>
      </c>
      <c r="AY253" s="48">
        <v>773558.58</v>
      </c>
      <c r="AZ253" s="48">
        <v>234542.84</v>
      </c>
      <c r="BA253" s="48">
        <v>75903.92</v>
      </c>
      <c r="BB253" s="48">
        <v>214579.04</v>
      </c>
      <c r="BC253" s="48">
        <v>25872.54</v>
      </c>
      <c r="BD253" s="48">
        <v>0</v>
      </c>
      <c r="BE253" s="48"/>
      <c r="BF253" s="48">
        <f t="shared" si="79"/>
        <v>6347896.4699999997</v>
      </c>
      <c r="BG253" s="48"/>
      <c r="BH253" s="48"/>
      <c r="BI253" s="48" t="str">
        <f t="shared" si="85"/>
        <v>17001</v>
      </c>
      <c r="BJ253" s="48">
        <f t="shared" si="86"/>
        <v>6347896.4699999997</v>
      </c>
      <c r="BK253" s="628">
        <f t="shared" si="87"/>
        <v>0</v>
      </c>
    </row>
    <row r="254" spans="1:63">
      <c r="A254" s="196">
        <v>247</v>
      </c>
      <c r="B254" s="73" t="s">
        <v>546</v>
      </c>
      <c r="C254" s="139" t="s">
        <v>547</v>
      </c>
      <c r="D254" s="168">
        <v>0</v>
      </c>
      <c r="E254" s="170">
        <v>326824.48</v>
      </c>
      <c r="F254" s="171">
        <f t="shared" si="95"/>
        <v>326824.48</v>
      </c>
      <c r="G254" s="181">
        <v>372555.02</v>
      </c>
      <c r="H254" s="178">
        <v>0</v>
      </c>
      <c r="I254" s="170">
        <v>441489.9</v>
      </c>
      <c r="J254" s="171">
        <f t="shared" si="96"/>
        <v>441489.9</v>
      </c>
      <c r="K254" s="202">
        <v>503681.72999999992</v>
      </c>
      <c r="L254" s="171">
        <v>0</v>
      </c>
      <c r="M254" s="197">
        <v>436777.56</v>
      </c>
      <c r="N254" s="171">
        <f t="shared" si="97"/>
        <v>436777.56</v>
      </c>
      <c r="O254" s="202">
        <v>512997.68999999994</v>
      </c>
      <c r="P254" s="238">
        <v>0</v>
      </c>
      <c r="Q254" s="197">
        <v>510111.6</v>
      </c>
      <c r="R254" s="171">
        <f t="shared" si="98"/>
        <v>510111.6</v>
      </c>
      <c r="S254" s="202">
        <v>530937.66</v>
      </c>
      <c r="T254" s="238">
        <v>0</v>
      </c>
      <c r="U254" s="238">
        <v>515993.16000000003</v>
      </c>
      <c r="V254" s="171">
        <f t="shared" si="99"/>
        <v>515993.16000000003</v>
      </c>
      <c r="W254" s="56">
        <v>552160.39999999991</v>
      </c>
      <c r="X254" s="568">
        <f t="shared" si="80"/>
        <v>0</v>
      </c>
      <c r="Y254" s="569">
        <v>564028.68000000005</v>
      </c>
      <c r="Z254" s="171">
        <f t="shared" si="100"/>
        <v>564028.68000000005</v>
      </c>
      <c r="AA254" s="48">
        <v>565639.75</v>
      </c>
      <c r="AB254" s="238">
        <f t="shared" si="81"/>
        <v>0</v>
      </c>
      <c r="AC254" s="238">
        <v>563019.35000000009</v>
      </c>
      <c r="AD254" s="171">
        <f t="shared" si="101"/>
        <v>563019.35000000009</v>
      </c>
      <c r="AE254" s="238"/>
      <c r="AF254" s="238">
        <f t="shared" si="82"/>
        <v>0</v>
      </c>
      <c r="AG254" s="196">
        <v>247</v>
      </c>
      <c r="AH254" s="73" t="s">
        <v>546</v>
      </c>
      <c r="AI254" s="139" t="s">
        <v>547</v>
      </c>
      <c r="AJ254" s="238">
        <f t="shared" si="83"/>
        <v>0</v>
      </c>
      <c r="AK254" s="238"/>
      <c r="AL254" s="358" t="s">
        <v>546</v>
      </c>
      <c r="AM254" s="48">
        <v>565639.75</v>
      </c>
      <c r="AN254" s="238" t="s">
        <v>546</v>
      </c>
      <c r="AO254" s="238">
        <v>563019.35000000009</v>
      </c>
      <c r="AQ254" s="472">
        <f t="shared" si="84"/>
        <v>0</v>
      </c>
      <c r="AS254" t="s">
        <v>546</v>
      </c>
      <c r="AT254" t="s">
        <v>1855</v>
      </c>
      <c r="AU254" s="48">
        <v>374910.97</v>
      </c>
      <c r="AV254" s="48">
        <v>34376.67</v>
      </c>
      <c r="AW254" s="48">
        <v>2068.5700000000002</v>
      </c>
      <c r="AX254" s="48">
        <v>0</v>
      </c>
      <c r="AY254" s="48">
        <v>89773.4</v>
      </c>
      <c r="AZ254" s="48">
        <v>24850.52</v>
      </c>
      <c r="BA254" s="48">
        <v>11663.79</v>
      </c>
      <c r="BB254" s="48">
        <v>11919.34</v>
      </c>
      <c r="BC254" s="48">
        <v>2134.1799999999998</v>
      </c>
      <c r="BD254" s="48">
        <v>11321.91</v>
      </c>
      <c r="BE254" s="48"/>
      <c r="BF254" s="48">
        <f t="shared" si="79"/>
        <v>563019.35000000009</v>
      </c>
      <c r="BG254" s="48"/>
      <c r="BH254" s="48"/>
      <c r="BI254" s="48" t="str">
        <f t="shared" si="85"/>
        <v>29101</v>
      </c>
      <c r="BJ254" s="48">
        <f t="shared" si="86"/>
        <v>563019.35000000009</v>
      </c>
      <c r="BK254" s="628">
        <f t="shared" si="87"/>
        <v>0</v>
      </c>
    </row>
    <row r="255" spans="1:63">
      <c r="A255" s="196">
        <v>248</v>
      </c>
      <c r="B255" s="73" t="s">
        <v>718</v>
      </c>
      <c r="C255" s="139" t="s">
        <v>719</v>
      </c>
      <c r="D255" s="168">
        <v>0</v>
      </c>
      <c r="E255" s="170">
        <v>234367.50000000003</v>
      </c>
      <c r="F255" s="171">
        <f t="shared" si="95"/>
        <v>234367.50000000003</v>
      </c>
      <c r="G255" s="181">
        <v>202752.59</v>
      </c>
      <c r="H255" s="178">
        <v>31614.910000000033</v>
      </c>
      <c r="I255" s="170">
        <v>316445.63</v>
      </c>
      <c r="J255" s="171">
        <f t="shared" si="96"/>
        <v>348060.54000000004</v>
      </c>
      <c r="K255" s="202">
        <v>348060.54000000004</v>
      </c>
      <c r="L255" s="171">
        <v>0</v>
      </c>
      <c r="M255" s="197">
        <v>342731.2</v>
      </c>
      <c r="N255" s="171">
        <f t="shared" si="97"/>
        <v>342731.2</v>
      </c>
      <c r="O255" s="202">
        <v>342731.21</v>
      </c>
      <c r="P255" s="238">
        <v>0</v>
      </c>
      <c r="Q255" s="197">
        <v>384242.38</v>
      </c>
      <c r="R255" s="171">
        <f t="shared" si="98"/>
        <v>384242.38</v>
      </c>
      <c r="S255" s="202">
        <v>384242.38</v>
      </c>
      <c r="T255" s="238">
        <v>0</v>
      </c>
      <c r="U255" s="238">
        <v>397476.85000000003</v>
      </c>
      <c r="V255" s="171">
        <f t="shared" si="99"/>
        <v>397476.85000000003</v>
      </c>
      <c r="W255" s="56">
        <v>397476.83999999997</v>
      </c>
      <c r="X255" s="568">
        <f t="shared" si="80"/>
        <v>1.0000000067520887E-2</v>
      </c>
      <c r="Y255" s="569">
        <v>409567.41</v>
      </c>
      <c r="Z255" s="171">
        <f t="shared" si="100"/>
        <v>409567.42000000004</v>
      </c>
      <c r="AA255" s="48">
        <v>409568.38</v>
      </c>
      <c r="AB255" s="238">
        <f t="shared" si="81"/>
        <v>0</v>
      </c>
      <c r="AC255" s="238">
        <v>403367.93999999994</v>
      </c>
      <c r="AD255" s="171">
        <f t="shared" si="101"/>
        <v>403367.93999999994</v>
      </c>
      <c r="AE255" s="238"/>
      <c r="AF255" s="238">
        <f t="shared" si="82"/>
        <v>0</v>
      </c>
      <c r="AG255" s="196">
        <v>248</v>
      </c>
      <c r="AH255" s="73" t="s">
        <v>718</v>
      </c>
      <c r="AI255" s="139" t="s">
        <v>719</v>
      </c>
      <c r="AJ255" s="238">
        <f t="shared" si="83"/>
        <v>0</v>
      </c>
      <c r="AK255" s="238"/>
      <c r="AL255" s="358" t="s">
        <v>718</v>
      </c>
      <c r="AM255" s="48">
        <v>409568.38</v>
      </c>
      <c r="AN255" s="238" t="s">
        <v>718</v>
      </c>
      <c r="AO255" s="238">
        <v>403367.93999999994</v>
      </c>
      <c r="AQ255" s="472">
        <f t="shared" si="84"/>
        <v>0</v>
      </c>
      <c r="AS255" t="s">
        <v>718</v>
      </c>
      <c r="AT255" t="s">
        <v>1946</v>
      </c>
      <c r="AU255" s="48">
        <v>246731.64</v>
      </c>
      <c r="AV255" s="48">
        <v>36908</v>
      </c>
      <c r="AW255" s="48">
        <v>19920.14</v>
      </c>
      <c r="AX255" s="48">
        <v>0</v>
      </c>
      <c r="AY255" s="48">
        <v>49649.38</v>
      </c>
      <c r="AZ255" s="48">
        <v>19949.43</v>
      </c>
      <c r="BA255" s="48">
        <v>16056.67</v>
      </c>
      <c r="BB255" s="48">
        <v>10366.299999999999</v>
      </c>
      <c r="BC255" s="48">
        <v>1589.47</v>
      </c>
      <c r="BD255" s="48">
        <v>2196.91</v>
      </c>
      <c r="BE255" s="48"/>
      <c r="BF255" s="48">
        <f t="shared" si="79"/>
        <v>403367.93999999994</v>
      </c>
      <c r="BG255" s="48"/>
      <c r="BH255" s="48"/>
      <c r="BI255" s="48" t="str">
        <f t="shared" si="85"/>
        <v>39119</v>
      </c>
      <c r="BJ255" s="48">
        <f t="shared" si="86"/>
        <v>403367.93999999994</v>
      </c>
      <c r="BK255" s="628">
        <f t="shared" si="87"/>
        <v>0</v>
      </c>
    </row>
    <row r="256" spans="1:63">
      <c r="A256" s="196">
        <v>249</v>
      </c>
      <c r="B256" s="73" t="s">
        <v>503</v>
      </c>
      <c r="C256" s="139" t="s">
        <v>504</v>
      </c>
      <c r="D256" s="168">
        <v>0</v>
      </c>
      <c r="E256" s="170">
        <v>22162.429999999997</v>
      </c>
      <c r="F256" s="171">
        <f t="shared" si="95"/>
        <v>22162.429999999997</v>
      </c>
      <c r="G256" s="181">
        <v>20641.32</v>
      </c>
      <c r="H256" s="178">
        <v>1521.1099999999969</v>
      </c>
      <c r="I256" s="170">
        <v>30447.85</v>
      </c>
      <c r="J256" s="171">
        <f t="shared" si="96"/>
        <v>31968.959999999995</v>
      </c>
      <c r="K256" s="202">
        <v>11355.039999999999</v>
      </c>
      <c r="L256" s="171">
        <v>20613.919999999998</v>
      </c>
      <c r="M256" s="197">
        <v>31580.34</v>
      </c>
      <c r="N256" s="171">
        <f t="shared" si="97"/>
        <v>52194.259999999995</v>
      </c>
      <c r="O256" s="202">
        <v>8646.5299999999988</v>
      </c>
      <c r="P256" s="238">
        <v>43547.729999999996</v>
      </c>
      <c r="Q256" s="197">
        <v>35744.409999999996</v>
      </c>
      <c r="R256" s="171">
        <f t="shared" si="98"/>
        <v>79292.139999999985</v>
      </c>
      <c r="S256" s="202">
        <v>17470.46</v>
      </c>
      <c r="T256" s="238">
        <v>61821.679999999986</v>
      </c>
      <c r="U256" s="238">
        <v>34679.630000000005</v>
      </c>
      <c r="V256" s="171">
        <f t="shared" si="99"/>
        <v>96501.31</v>
      </c>
      <c r="W256" s="56">
        <v>15617.429999999995</v>
      </c>
      <c r="X256" s="568">
        <f t="shared" si="80"/>
        <v>80883.88</v>
      </c>
      <c r="Y256" s="569">
        <v>37855.140000000007</v>
      </c>
      <c r="Z256" s="171">
        <f t="shared" si="100"/>
        <v>118739.02000000002</v>
      </c>
      <c r="AA256" s="48">
        <v>95713.929999999964</v>
      </c>
      <c r="AB256" s="238">
        <f t="shared" si="81"/>
        <v>23025.090000000055</v>
      </c>
      <c r="AC256" s="238">
        <v>37588.899999999994</v>
      </c>
      <c r="AD256" s="171">
        <f t="shared" si="101"/>
        <v>60613.990000000049</v>
      </c>
      <c r="AE256" s="238"/>
      <c r="AF256" s="238">
        <f t="shared" si="82"/>
        <v>0</v>
      </c>
      <c r="AG256" s="196">
        <v>249</v>
      </c>
      <c r="AH256" s="73" t="s">
        <v>503</v>
      </c>
      <c r="AI256" s="139" t="s">
        <v>504</v>
      </c>
      <c r="AJ256" s="238">
        <f t="shared" si="83"/>
        <v>0</v>
      </c>
      <c r="AK256" s="238"/>
      <c r="AL256" s="358" t="s">
        <v>503</v>
      </c>
      <c r="AM256" s="48">
        <v>95713.929999999964</v>
      </c>
      <c r="AN256" s="238" t="s">
        <v>503</v>
      </c>
      <c r="AO256" s="238">
        <v>37588.899999999994</v>
      </c>
      <c r="AQ256" s="472">
        <f t="shared" si="84"/>
        <v>0</v>
      </c>
      <c r="AS256" t="s">
        <v>503</v>
      </c>
      <c r="AT256" t="s">
        <v>1834</v>
      </c>
      <c r="AU256" s="48">
        <v>26151.64</v>
      </c>
      <c r="AV256" s="48">
        <v>2146.02</v>
      </c>
      <c r="AW256" s="48">
        <v>388.51</v>
      </c>
      <c r="AX256" s="48">
        <v>0</v>
      </c>
      <c r="AY256" s="48">
        <v>4974.5</v>
      </c>
      <c r="AZ256" s="48">
        <v>1620.32</v>
      </c>
      <c r="BA256" s="48">
        <v>1156.27</v>
      </c>
      <c r="BB256" s="48">
        <v>0</v>
      </c>
      <c r="BC256" s="48">
        <v>0</v>
      </c>
      <c r="BD256" s="48">
        <v>1151.6400000000001</v>
      </c>
      <c r="BE256" s="48"/>
      <c r="BF256" s="48">
        <f t="shared" si="79"/>
        <v>37588.899999999994</v>
      </c>
      <c r="BG256" s="48"/>
      <c r="BH256" s="48"/>
      <c r="BI256" s="48" t="str">
        <f t="shared" si="85"/>
        <v>26070</v>
      </c>
      <c r="BJ256" s="48">
        <f t="shared" si="86"/>
        <v>37588.899999999994</v>
      </c>
      <c r="BK256" s="628">
        <f t="shared" si="87"/>
        <v>0</v>
      </c>
    </row>
    <row r="257" spans="1:63">
      <c r="A257" s="196">
        <v>250</v>
      </c>
      <c r="B257" s="73" t="s">
        <v>207</v>
      </c>
      <c r="C257" s="139" t="s">
        <v>208</v>
      </c>
      <c r="D257" s="168">
        <v>86400.67</v>
      </c>
      <c r="E257" s="170">
        <v>171485.53000000003</v>
      </c>
      <c r="F257" s="171">
        <f t="shared" si="95"/>
        <v>257886.2</v>
      </c>
      <c r="G257" s="181">
        <v>207289.22</v>
      </c>
      <c r="H257" s="178">
        <v>50596.98000000001</v>
      </c>
      <c r="I257" s="170">
        <v>231308.81</v>
      </c>
      <c r="J257" s="171">
        <f t="shared" si="96"/>
        <v>281905.79000000004</v>
      </c>
      <c r="K257" s="202">
        <v>277159.50999999995</v>
      </c>
      <c r="L257" s="171">
        <v>4746.2800000000861</v>
      </c>
      <c r="M257" s="197">
        <v>226138.65999999997</v>
      </c>
      <c r="N257" s="171">
        <f t="shared" si="97"/>
        <v>230884.94000000006</v>
      </c>
      <c r="O257" s="202">
        <v>262784.74</v>
      </c>
      <c r="P257" s="238">
        <v>0</v>
      </c>
      <c r="Q257" s="197">
        <v>245266.73</v>
      </c>
      <c r="R257" s="171">
        <f t="shared" si="98"/>
        <v>245266.73</v>
      </c>
      <c r="S257" s="202">
        <v>266507.88</v>
      </c>
      <c r="T257" s="238">
        <v>0</v>
      </c>
      <c r="U257" s="238">
        <v>261080.64</v>
      </c>
      <c r="V257" s="171">
        <f t="shared" si="99"/>
        <v>261080.64</v>
      </c>
      <c r="W257" s="56">
        <v>285217.73</v>
      </c>
      <c r="X257" s="568">
        <f t="shared" si="80"/>
        <v>0</v>
      </c>
      <c r="Y257" s="569">
        <v>276458.38</v>
      </c>
      <c r="Z257" s="171">
        <f t="shared" si="100"/>
        <v>276458.38</v>
      </c>
      <c r="AA257" s="48">
        <v>267867.84999999992</v>
      </c>
      <c r="AB257" s="238">
        <f t="shared" si="81"/>
        <v>8590.5300000000861</v>
      </c>
      <c r="AC257" s="238">
        <v>273909.99000000005</v>
      </c>
      <c r="AD257" s="171">
        <f t="shared" si="101"/>
        <v>282500.52000000014</v>
      </c>
      <c r="AE257" s="238"/>
      <c r="AF257" s="238">
        <f t="shared" si="82"/>
        <v>0</v>
      </c>
      <c r="AG257" s="196">
        <v>250</v>
      </c>
      <c r="AH257" s="73" t="s">
        <v>207</v>
      </c>
      <c r="AI257" s="139" t="s">
        <v>208</v>
      </c>
      <c r="AJ257" s="238">
        <f t="shared" si="83"/>
        <v>0</v>
      </c>
      <c r="AK257" s="238"/>
      <c r="AL257" s="358" t="s">
        <v>207</v>
      </c>
      <c r="AM257" s="48">
        <v>267867.84999999992</v>
      </c>
      <c r="AN257" s="238" t="s">
        <v>207</v>
      </c>
      <c r="AO257" s="238">
        <v>273909.99000000005</v>
      </c>
      <c r="AQ257" s="472">
        <f t="shared" si="84"/>
        <v>0</v>
      </c>
      <c r="AS257" t="s">
        <v>207</v>
      </c>
      <c r="AT257" t="s">
        <v>1681</v>
      </c>
      <c r="AU257" s="48">
        <v>180259.17</v>
      </c>
      <c r="AV257" s="48">
        <v>20752.560000000001</v>
      </c>
      <c r="AW257" s="48">
        <v>6471.38</v>
      </c>
      <c r="AX257" s="48">
        <v>0</v>
      </c>
      <c r="AY257" s="48">
        <v>47744.83</v>
      </c>
      <c r="AZ257" s="48">
        <v>13454.28</v>
      </c>
      <c r="BA257" s="48">
        <v>2505.21</v>
      </c>
      <c r="BB257" s="48">
        <v>1521.43</v>
      </c>
      <c r="BC257" s="48">
        <v>1201.1300000000001</v>
      </c>
      <c r="BD257" s="48">
        <v>0</v>
      </c>
      <c r="BE257" s="48"/>
      <c r="BF257" s="48">
        <f t="shared" si="79"/>
        <v>273909.99000000005</v>
      </c>
      <c r="BG257" s="48"/>
      <c r="BH257" s="48"/>
      <c r="BI257" s="48" t="str">
        <f t="shared" si="85"/>
        <v>05323</v>
      </c>
      <c r="BJ257" s="48">
        <f t="shared" si="86"/>
        <v>273909.99000000005</v>
      </c>
      <c r="BK257" s="628">
        <f t="shared" si="87"/>
        <v>0</v>
      </c>
    </row>
    <row r="258" spans="1:63">
      <c r="A258" s="196">
        <v>251</v>
      </c>
      <c r="B258" s="73" t="s">
        <v>535</v>
      </c>
      <c r="C258" s="139" t="s">
        <v>536</v>
      </c>
      <c r="D258" s="168">
        <v>1004.73</v>
      </c>
      <c r="E258" s="170">
        <v>1795.3899999999999</v>
      </c>
      <c r="F258" s="171">
        <f t="shared" si="95"/>
        <v>2800.12</v>
      </c>
      <c r="G258" s="181"/>
      <c r="H258" s="178">
        <v>2800.12</v>
      </c>
      <c r="I258" s="170">
        <v>3135.13</v>
      </c>
      <c r="J258" s="171">
        <f t="shared" si="96"/>
        <v>5935.25</v>
      </c>
      <c r="K258" s="202">
        <v>53.07</v>
      </c>
      <c r="L258" s="171">
        <v>5882.18</v>
      </c>
      <c r="M258" s="197">
        <v>3328.58</v>
      </c>
      <c r="N258" s="171">
        <f t="shared" si="97"/>
        <v>9210.76</v>
      </c>
      <c r="O258" s="202">
        <v>483.36</v>
      </c>
      <c r="P258" s="238">
        <v>8727.4</v>
      </c>
      <c r="Q258" s="197">
        <v>3408.11</v>
      </c>
      <c r="R258" s="171">
        <f t="shared" si="98"/>
        <v>12135.51</v>
      </c>
      <c r="S258" s="202">
        <v>599.83999999999992</v>
      </c>
      <c r="T258" s="238">
        <v>11535.67</v>
      </c>
      <c r="U258" s="238">
        <v>3667.29</v>
      </c>
      <c r="V258" s="171">
        <f t="shared" si="99"/>
        <v>15202.96</v>
      </c>
      <c r="W258" s="56">
        <v>545.15</v>
      </c>
      <c r="X258" s="568">
        <f t="shared" si="80"/>
        <v>14657.81</v>
      </c>
      <c r="Y258" s="569">
        <v>3462.3199999999997</v>
      </c>
      <c r="Z258" s="171">
        <f t="shared" si="100"/>
        <v>18120.129999999997</v>
      </c>
      <c r="AA258" s="48">
        <v>1110.8399999999999</v>
      </c>
      <c r="AB258" s="238">
        <f t="shared" si="81"/>
        <v>17009.289999999997</v>
      </c>
      <c r="AC258" s="238">
        <v>3355.51</v>
      </c>
      <c r="AD258" s="171">
        <f t="shared" si="101"/>
        <v>20364.799999999996</v>
      </c>
      <c r="AE258" s="238"/>
      <c r="AF258" s="238">
        <f t="shared" si="82"/>
        <v>0</v>
      </c>
      <c r="AG258" s="196">
        <v>251</v>
      </c>
      <c r="AH258" s="73" t="s">
        <v>535</v>
      </c>
      <c r="AI258" s="139" t="s">
        <v>536</v>
      </c>
      <c r="AJ258" s="238">
        <f t="shared" si="83"/>
        <v>0</v>
      </c>
      <c r="AK258" s="238"/>
      <c r="AL258" s="358" t="s">
        <v>535</v>
      </c>
      <c r="AM258" s="48">
        <v>1110.8399999999999</v>
      </c>
      <c r="AN258" s="238" t="s">
        <v>535</v>
      </c>
      <c r="AO258" s="238">
        <v>3355.51</v>
      </c>
      <c r="AQ258" s="472">
        <f t="shared" si="84"/>
        <v>0</v>
      </c>
      <c r="AS258" t="s">
        <v>535</v>
      </c>
      <c r="AT258" t="s">
        <v>1850</v>
      </c>
      <c r="AU258" s="48">
        <v>3294.56</v>
      </c>
      <c r="AV258" s="48">
        <v>0</v>
      </c>
      <c r="AW258" s="48">
        <v>0</v>
      </c>
      <c r="AX258" s="48">
        <v>0</v>
      </c>
      <c r="AY258" s="48">
        <v>57.32</v>
      </c>
      <c r="AZ258" s="48">
        <v>0</v>
      </c>
      <c r="BA258" s="48">
        <v>0</v>
      </c>
      <c r="BB258" s="48">
        <v>0</v>
      </c>
      <c r="BC258" s="48">
        <v>3.63</v>
      </c>
      <c r="BD258" s="48">
        <v>0</v>
      </c>
      <c r="BE258" s="48"/>
      <c r="BF258" s="48">
        <f t="shared" si="79"/>
        <v>3355.51</v>
      </c>
      <c r="BG258" s="48"/>
      <c r="BH258" s="48"/>
      <c r="BI258" s="48" t="str">
        <f t="shared" si="85"/>
        <v>28010</v>
      </c>
      <c r="BJ258" s="48">
        <f t="shared" si="86"/>
        <v>3355.51</v>
      </c>
      <c r="BK258" s="628">
        <f t="shared" si="87"/>
        <v>0</v>
      </c>
    </row>
    <row r="259" spans="1:63">
      <c r="A259" s="196">
        <v>252</v>
      </c>
      <c r="B259" s="73" t="s">
        <v>462</v>
      </c>
      <c r="C259" s="139" t="s">
        <v>463</v>
      </c>
      <c r="D259" s="168">
        <v>20416.619999999995</v>
      </c>
      <c r="E259" s="170">
        <v>293199.54000000004</v>
      </c>
      <c r="F259" s="171">
        <f t="shared" si="95"/>
        <v>313616.16000000003</v>
      </c>
      <c r="G259" s="181">
        <v>256509.12</v>
      </c>
      <c r="H259" s="178">
        <v>57107.040000000037</v>
      </c>
      <c r="I259" s="170">
        <v>423141.12</v>
      </c>
      <c r="J259" s="171">
        <f t="shared" si="96"/>
        <v>480248.16000000003</v>
      </c>
      <c r="K259" s="202">
        <v>317707.33999999997</v>
      </c>
      <c r="L259" s="171">
        <v>162540.82000000007</v>
      </c>
      <c r="M259" s="197">
        <v>422905.93999999994</v>
      </c>
      <c r="N259" s="171">
        <f t="shared" si="97"/>
        <v>585446.76</v>
      </c>
      <c r="O259" s="202">
        <v>195827.55</v>
      </c>
      <c r="P259" s="238">
        <v>389619.21</v>
      </c>
      <c r="Q259" s="197">
        <v>469512.87999999995</v>
      </c>
      <c r="R259" s="171">
        <f t="shared" si="98"/>
        <v>859132.09</v>
      </c>
      <c r="S259" s="202">
        <v>409727.37000000005</v>
      </c>
      <c r="T259" s="238">
        <v>449404.71999999991</v>
      </c>
      <c r="U259" s="238">
        <v>485417.54999999993</v>
      </c>
      <c r="V259" s="171">
        <f t="shared" si="99"/>
        <v>934822.26999999979</v>
      </c>
      <c r="W259" s="56">
        <v>589707.91000000015</v>
      </c>
      <c r="X259" s="568">
        <f t="shared" si="80"/>
        <v>345114.35999999964</v>
      </c>
      <c r="Y259" s="569">
        <v>504615.22000000003</v>
      </c>
      <c r="Z259" s="171">
        <f t="shared" si="100"/>
        <v>849729.57999999961</v>
      </c>
      <c r="AA259" s="48">
        <v>7549.0500000000011</v>
      </c>
      <c r="AB259" s="238">
        <f t="shared" si="81"/>
        <v>842180.52999999956</v>
      </c>
      <c r="AC259" s="238">
        <v>485608.3600000001</v>
      </c>
      <c r="AD259" s="171">
        <f t="shared" si="101"/>
        <v>1327788.8899999997</v>
      </c>
      <c r="AE259" s="238"/>
      <c r="AF259" s="238">
        <f t="shared" si="82"/>
        <v>0</v>
      </c>
      <c r="AG259" s="196">
        <v>252</v>
      </c>
      <c r="AH259" s="73" t="s">
        <v>462</v>
      </c>
      <c r="AI259" s="139" t="s">
        <v>463</v>
      </c>
      <c r="AJ259" s="238">
        <f t="shared" si="83"/>
        <v>0</v>
      </c>
      <c r="AK259" s="238"/>
      <c r="AL259" s="358" t="s">
        <v>462</v>
      </c>
      <c r="AM259" s="48">
        <v>7549.0500000000011</v>
      </c>
      <c r="AN259" s="238" t="s">
        <v>462</v>
      </c>
      <c r="AO259" s="238">
        <v>485608.3600000001</v>
      </c>
      <c r="AQ259" s="472">
        <f t="shared" si="84"/>
        <v>0</v>
      </c>
      <c r="AS259" t="s">
        <v>462</v>
      </c>
      <c r="AT259" t="s">
        <v>1814</v>
      </c>
      <c r="AU259" s="48">
        <v>263176.82</v>
      </c>
      <c r="AV259" s="48">
        <v>60244.52</v>
      </c>
      <c r="AW259" s="48">
        <v>15564.88</v>
      </c>
      <c r="AX259" s="48">
        <v>0</v>
      </c>
      <c r="AY259" s="48">
        <v>69741.27</v>
      </c>
      <c r="AZ259" s="48">
        <v>28644.55</v>
      </c>
      <c r="BA259" s="48">
        <v>19160.09</v>
      </c>
      <c r="BB259" s="48">
        <v>27230.83</v>
      </c>
      <c r="BC259" s="48">
        <v>1845.4</v>
      </c>
      <c r="BD259" s="48">
        <v>0</v>
      </c>
      <c r="BE259" s="48"/>
      <c r="BF259" s="48">
        <f t="shared" si="79"/>
        <v>485608.3600000001</v>
      </c>
      <c r="BG259" s="48"/>
      <c r="BH259" s="48"/>
      <c r="BI259" s="48" t="str">
        <f t="shared" si="85"/>
        <v>23309</v>
      </c>
      <c r="BJ259" s="48">
        <f t="shared" si="86"/>
        <v>485608.3600000001</v>
      </c>
      <c r="BK259" s="628">
        <f t="shared" si="87"/>
        <v>0</v>
      </c>
    </row>
    <row r="260" spans="1:63">
      <c r="A260" s="196">
        <v>253</v>
      </c>
      <c r="B260" s="73" t="s">
        <v>366</v>
      </c>
      <c r="C260" s="139" t="s">
        <v>367</v>
      </c>
      <c r="D260" s="168">
        <v>75325.960000000079</v>
      </c>
      <c r="E260" s="170">
        <v>711022.36</v>
      </c>
      <c r="F260" s="171">
        <f t="shared" si="95"/>
        <v>786348.32000000007</v>
      </c>
      <c r="G260" s="181">
        <v>482758.55</v>
      </c>
      <c r="H260" s="178">
        <v>303589.77000000008</v>
      </c>
      <c r="I260" s="170">
        <v>985179.79</v>
      </c>
      <c r="J260" s="171">
        <f t="shared" si="96"/>
        <v>1288769.56</v>
      </c>
      <c r="K260" s="202">
        <v>968723.29999999981</v>
      </c>
      <c r="L260" s="171">
        <v>320046.26000000024</v>
      </c>
      <c r="M260" s="197">
        <v>957176.64</v>
      </c>
      <c r="N260" s="171">
        <f t="shared" si="97"/>
        <v>1277222.9000000004</v>
      </c>
      <c r="O260" s="202">
        <v>839126.78</v>
      </c>
      <c r="P260" s="238">
        <v>438096.12000000034</v>
      </c>
      <c r="Q260" s="197">
        <v>1023839.79</v>
      </c>
      <c r="R260" s="171">
        <f t="shared" si="98"/>
        <v>1461935.9100000004</v>
      </c>
      <c r="S260" s="202">
        <v>1135895.6100000001</v>
      </c>
      <c r="T260" s="238">
        <v>326040.30000000028</v>
      </c>
      <c r="U260" s="238">
        <v>1072409.56</v>
      </c>
      <c r="V260" s="171">
        <f t="shared" si="99"/>
        <v>1398449.8600000003</v>
      </c>
      <c r="W260" s="56">
        <v>777529.42999999993</v>
      </c>
      <c r="X260" s="568">
        <f t="shared" si="80"/>
        <v>620920.4300000004</v>
      </c>
      <c r="Y260" s="569">
        <v>1144983.3</v>
      </c>
      <c r="Z260" s="171">
        <f t="shared" si="100"/>
        <v>1765903.7300000004</v>
      </c>
      <c r="AA260" s="48">
        <v>1475708.5199999998</v>
      </c>
      <c r="AB260" s="238">
        <f t="shared" si="81"/>
        <v>290195.21000000066</v>
      </c>
      <c r="AC260" s="238">
        <v>1126392.6500000001</v>
      </c>
      <c r="AD260" s="171">
        <f t="shared" si="101"/>
        <v>1416587.8600000008</v>
      </c>
      <c r="AE260" s="238"/>
      <c r="AF260" s="238">
        <f t="shared" si="82"/>
        <v>0</v>
      </c>
      <c r="AG260" s="196">
        <v>253</v>
      </c>
      <c r="AH260" s="73" t="s">
        <v>366</v>
      </c>
      <c r="AI260" s="139" t="s">
        <v>367</v>
      </c>
      <c r="AJ260" s="238">
        <f t="shared" si="83"/>
        <v>0</v>
      </c>
      <c r="AK260" s="238"/>
      <c r="AL260" s="358" t="s">
        <v>366</v>
      </c>
      <c r="AM260" s="48">
        <v>1475708.5199999998</v>
      </c>
      <c r="AN260" s="238" t="s">
        <v>366</v>
      </c>
      <c r="AO260" s="238">
        <v>1126392.6500000001</v>
      </c>
      <c r="AQ260" s="472">
        <f t="shared" si="84"/>
        <v>0</v>
      </c>
      <c r="AS260" t="s">
        <v>366</v>
      </c>
      <c r="AT260" t="s">
        <v>1764</v>
      </c>
      <c r="AU260" s="48">
        <v>871992.85</v>
      </c>
      <c r="AV260" s="48">
        <v>48828.91</v>
      </c>
      <c r="AW260" s="48">
        <v>3276.36</v>
      </c>
      <c r="AX260" s="48">
        <v>0</v>
      </c>
      <c r="AY260" s="48">
        <v>130525.62</v>
      </c>
      <c r="AZ260" s="48">
        <v>32927.360000000001</v>
      </c>
      <c r="BA260" s="48">
        <v>0</v>
      </c>
      <c r="BB260" s="48">
        <v>33987.949999999997</v>
      </c>
      <c r="BC260" s="48">
        <v>4853.6000000000004</v>
      </c>
      <c r="BD260" s="48">
        <v>0</v>
      </c>
      <c r="BE260" s="48"/>
      <c r="BF260" s="48">
        <f t="shared" si="79"/>
        <v>1126392.6500000001</v>
      </c>
      <c r="BG260" s="48"/>
      <c r="BH260" s="48"/>
      <c r="BI260" s="48" t="str">
        <f t="shared" si="85"/>
        <v>17412</v>
      </c>
      <c r="BJ260" s="48">
        <f t="shared" si="86"/>
        <v>1126392.6500000001</v>
      </c>
      <c r="BK260" s="628">
        <f t="shared" si="87"/>
        <v>0</v>
      </c>
    </row>
    <row r="261" spans="1:63">
      <c r="A261" s="196">
        <v>254</v>
      </c>
      <c r="B261" s="173" t="s">
        <v>556</v>
      </c>
      <c r="C261" s="139" t="s">
        <v>557</v>
      </c>
      <c r="D261" s="168">
        <v>39.069999999999709</v>
      </c>
      <c r="E261" s="170">
        <v>4769.91</v>
      </c>
      <c r="F261" s="171">
        <f t="shared" si="95"/>
        <v>4808.9799999999996</v>
      </c>
      <c r="G261" s="181">
        <v>5909.02</v>
      </c>
      <c r="H261" s="178">
        <v>0</v>
      </c>
      <c r="I261" s="170">
        <v>6342.04</v>
      </c>
      <c r="J261" s="171">
        <f t="shared" si="96"/>
        <v>6342.04</v>
      </c>
      <c r="K261" s="202">
        <v>8237.2099999999991</v>
      </c>
      <c r="L261" s="171">
        <v>0</v>
      </c>
      <c r="M261" s="197">
        <v>6674.61</v>
      </c>
      <c r="N261" s="171">
        <f t="shared" si="97"/>
        <v>6674.61</v>
      </c>
      <c r="O261" s="202">
        <v>7482.6100000000006</v>
      </c>
      <c r="P261" s="238">
        <v>0</v>
      </c>
      <c r="Q261" s="197">
        <v>8612.81</v>
      </c>
      <c r="R261" s="171">
        <f t="shared" si="98"/>
        <v>8612.81</v>
      </c>
      <c r="S261" s="202">
        <v>9500.73</v>
      </c>
      <c r="T261" s="238">
        <v>0</v>
      </c>
      <c r="U261" s="238">
        <v>9167.23</v>
      </c>
      <c r="V261" s="171">
        <f t="shared" si="99"/>
        <v>9167.23</v>
      </c>
      <c r="W261" s="56">
        <v>10399.35</v>
      </c>
      <c r="X261" s="568">
        <f t="shared" si="80"/>
        <v>0</v>
      </c>
      <c r="Y261" s="569">
        <v>12972.79</v>
      </c>
      <c r="Z261" s="171">
        <f t="shared" si="100"/>
        <v>12972.79</v>
      </c>
      <c r="AA261" s="48">
        <v>13277.58</v>
      </c>
      <c r="AB261" s="238">
        <f t="shared" si="81"/>
        <v>0</v>
      </c>
      <c r="AC261" s="238">
        <v>14147.179999999998</v>
      </c>
      <c r="AD261" s="171">
        <f t="shared" si="101"/>
        <v>14147.179999999998</v>
      </c>
      <c r="AE261" s="238"/>
      <c r="AF261" s="238">
        <f t="shared" si="82"/>
        <v>0</v>
      </c>
      <c r="AG261" s="196">
        <v>254</v>
      </c>
      <c r="AH261" s="173" t="s">
        <v>556</v>
      </c>
      <c r="AI261" s="139" t="s">
        <v>557</v>
      </c>
      <c r="AJ261" s="238">
        <f t="shared" si="83"/>
        <v>0</v>
      </c>
      <c r="AK261" s="238"/>
      <c r="AL261" s="358" t="s">
        <v>556</v>
      </c>
      <c r="AM261" s="48">
        <v>13277.58</v>
      </c>
      <c r="AN261" s="238" t="s">
        <v>556</v>
      </c>
      <c r="AO261" s="238">
        <v>14147.179999999998</v>
      </c>
      <c r="AQ261" s="472">
        <f t="shared" si="84"/>
        <v>0</v>
      </c>
      <c r="AS261" t="s">
        <v>556</v>
      </c>
      <c r="AT261" t="s">
        <v>1860</v>
      </c>
      <c r="AU261" s="48">
        <v>12030.9</v>
      </c>
      <c r="AV261" s="48">
        <v>0</v>
      </c>
      <c r="AW261" s="48">
        <v>0</v>
      </c>
      <c r="AX261" s="48">
        <v>0</v>
      </c>
      <c r="AY261" s="48">
        <v>0</v>
      </c>
      <c r="AZ261" s="48">
        <v>759.9</v>
      </c>
      <c r="BA261" s="48">
        <v>526.21</v>
      </c>
      <c r="BB261" s="48">
        <v>0</v>
      </c>
      <c r="BC261" s="48">
        <v>53.93</v>
      </c>
      <c r="BD261" s="48">
        <v>776.24</v>
      </c>
      <c r="BE261" s="48"/>
      <c r="BF261" s="48">
        <f t="shared" si="79"/>
        <v>14147.179999999998</v>
      </c>
      <c r="BG261" s="48"/>
      <c r="BH261" s="48"/>
      <c r="BI261" s="48" t="str">
        <f t="shared" si="85"/>
        <v>30002</v>
      </c>
      <c r="BJ261" s="48">
        <f t="shared" si="86"/>
        <v>14147.179999999998</v>
      </c>
      <c r="BK261" s="628">
        <f t="shared" si="87"/>
        <v>0</v>
      </c>
    </row>
    <row r="262" spans="1:63">
      <c r="A262" s="196">
        <v>255</v>
      </c>
      <c r="B262" s="73" t="s">
        <v>352</v>
      </c>
      <c r="C262" s="139" t="s">
        <v>353</v>
      </c>
      <c r="D262" s="168">
        <v>0</v>
      </c>
      <c r="E262" s="170">
        <v>14760.720000000001</v>
      </c>
      <c r="F262" s="171">
        <f t="shared" si="95"/>
        <v>14760.720000000001</v>
      </c>
      <c r="G262" s="181">
        <v>14199.78</v>
      </c>
      <c r="H262" s="178">
        <v>560.94000000000051</v>
      </c>
      <c r="I262" s="170">
        <v>22207.269999999997</v>
      </c>
      <c r="J262" s="171">
        <f t="shared" si="96"/>
        <v>22768.21</v>
      </c>
      <c r="K262" s="202"/>
      <c r="L262" s="171">
        <v>22768.21</v>
      </c>
      <c r="M262" s="197">
        <v>21567.53</v>
      </c>
      <c r="N262" s="171">
        <f t="shared" si="97"/>
        <v>44335.74</v>
      </c>
      <c r="O262" s="202">
        <v>16118.58</v>
      </c>
      <c r="P262" s="238">
        <v>28217.159999999996</v>
      </c>
      <c r="Q262" s="197">
        <v>23220.83</v>
      </c>
      <c r="R262" s="171">
        <f t="shared" si="98"/>
        <v>51437.99</v>
      </c>
      <c r="S262" s="202">
        <v>18024.79</v>
      </c>
      <c r="T262" s="238">
        <v>33413.199999999997</v>
      </c>
      <c r="U262" s="238">
        <v>23382.21</v>
      </c>
      <c r="V262" s="171">
        <f t="shared" si="99"/>
        <v>56795.409999999996</v>
      </c>
      <c r="W262" s="56">
        <v>16823.760000000002</v>
      </c>
      <c r="X262" s="568">
        <f t="shared" si="80"/>
        <v>39971.649999999994</v>
      </c>
      <c r="Y262" s="569">
        <v>24408.170000000002</v>
      </c>
      <c r="Z262" s="171">
        <f t="shared" si="100"/>
        <v>64379.819999999992</v>
      </c>
      <c r="AA262" s="48">
        <v>21063.780000000002</v>
      </c>
      <c r="AB262" s="238">
        <f t="shared" si="81"/>
        <v>43316.039999999994</v>
      </c>
      <c r="AC262" s="238">
        <v>25199.97</v>
      </c>
      <c r="AD262" s="171">
        <f t="shared" si="101"/>
        <v>68516.009999999995</v>
      </c>
      <c r="AE262" s="238"/>
      <c r="AF262" s="238">
        <f t="shared" si="82"/>
        <v>0</v>
      </c>
      <c r="AG262" s="196">
        <v>255</v>
      </c>
      <c r="AH262" s="73" t="s">
        <v>352</v>
      </c>
      <c r="AI262" s="139" t="s">
        <v>353</v>
      </c>
      <c r="AJ262" s="238">
        <f t="shared" si="83"/>
        <v>0</v>
      </c>
      <c r="AK262" s="238"/>
      <c r="AL262" s="358" t="s">
        <v>352</v>
      </c>
      <c r="AM262" s="48">
        <v>21063.780000000002</v>
      </c>
      <c r="AN262" s="238" t="s">
        <v>352</v>
      </c>
      <c r="AO262" s="238">
        <v>25199.97</v>
      </c>
      <c r="AQ262" s="472">
        <f t="shared" si="84"/>
        <v>0</v>
      </c>
      <c r="AS262" t="s">
        <v>352</v>
      </c>
      <c r="AT262" t="s">
        <v>1756</v>
      </c>
      <c r="AU262" s="48">
        <v>22923.63</v>
      </c>
      <c r="AV262" s="48">
        <v>158.27000000000001</v>
      </c>
      <c r="AW262" s="48">
        <v>0</v>
      </c>
      <c r="AX262" s="48">
        <v>0</v>
      </c>
      <c r="AY262" s="48">
        <v>1541.39</v>
      </c>
      <c r="AZ262" s="48">
        <v>360.2</v>
      </c>
      <c r="BA262" s="48">
        <v>216.48</v>
      </c>
      <c r="BB262" s="48">
        <v>0</v>
      </c>
      <c r="BC262" s="48">
        <v>0</v>
      </c>
      <c r="BD262" s="48">
        <v>0</v>
      </c>
      <c r="BE262" s="48"/>
      <c r="BF262" s="48">
        <f t="shared" si="79"/>
        <v>25199.97</v>
      </c>
      <c r="BG262" s="48"/>
      <c r="BH262" s="48"/>
      <c r="BI262" s="48" t="str">
        <f t="shared" si="85"/>
        <v>17404</v>
      </c>
      <c r="BJ262" s="48">
        <f t="shared" si="86"/>
        <v>25199.97</v>
      </c>
      <c r="BK262" s="628">
        <f t="shared" si="87"/>
        <v>0</v>
      </c>
    </row>
    <row r="263" spans="1:63">
      <c r="A263" s="196">
        <v>256</v>
      </c>
      <c r="B263" s="73" t="s">
        <v>580</v>
      </c>
      <c r="C263" s="139" t="s">
        <v>581</v>
      </c>
      <c r="D263" s="168">
        <v>0</v>
      </c>
      <c r="E263" s="170">
        <v>698058.64</v>
      </c>
      <c r="F263" s="171">
        <f t="shared" si="95"/>
        <v>698058.64</v>
      </c>
      <c r="G263" s="181">
        <v>673071.44</v>
      </c>
      <c r="H263" s="178">
        <v>24987.20000000007</v>
      </c>
      <c r="I263" s="170">
        <v>928516.82000000007</v>
      </c>
      <c r="J263" s="171">
        <f t="shared" si="96"/>
        <v>953504.02000000014</v>
      </c>
      <c r="K263" s="202">
        <v>1015219.68</v>
      </c>
      <c r="L263" s="171">
        <v>0</v>
      </c>
      <c r="M263" s="197">
        <v>956466.37999999989</v>
      </c>
      <c r="N263" s="171">
        <f t="shared" si="97"/>
        <v>956466.37999999989</v>
      </c>
      <c r="O263" s="202">
        <v>1024671.46</v>
      </c>
      <c r="P263" s="238">
        <v>0</v>
      </c>
      <c r="Q263" s="197">
        <v>1023746.98</v>
      </c>
      <c r="R263" s="171">
        <f t="shared" si="98"/>
        <v>1023746.98</v>
      </c>
      <c r="S263" s="202">
        <v>1090080.2799999998</v>
      </c>
      <c r="T263" s="238">
        <v>0</v>
      </c>
      <c r="U263" s="238">
        <v>1103363.08</v>
      </c>
      <c r="V263" s="171">
        <f t="shared" si="99"/>
        <v>1103363.08</v>
      </c>
      <c r="W263" s="56">
        <v>1133443.3899999999</v>
      </c>
      <c r="X263" s="568">
        <f t="shared" si="80"/>
        <v>0</v>
      </c>
      <c r="Y263" s="569">
        <v>1196851.1799999997</v>
      </c>
      <c r="Z263" s="171">
        <f t="shared" si="100"/>
        <v>1196851.1799999997</v>
      </c>
      <c r="AA263" s="48">
        <v>1222663.5599999991</v>
      </c>
      <c r="AB263" s="238">
        <f t="shared" si="81"/>
        <v>0</v>
      </c>
      <c r="AC263" s="238">
        <v>1191062.1399999999</v>
      </c>
      <c r="AD263" s="171">
        <f t="shared" si="101"/>
        <v>1191062.1399999999</v>
      </c>
      <c r="AE263" s="238"/>
      <c r="AF263" s="238">
        <f t="shared" si="82"/>
        <v>0</v>
      </c>
      <c r="AG263" s="196">
        <v>256</v>
      </c>
      <c r="AH263" s="73" t="s">
        <v>580</v>
      </c>
      <c r="AI263" s="139" t="s">
        <v>581</v>
      </c>
      <c r="AJ263" s="238">
        <f t="shared" si="83"/>
        <v>0</v>
      </c>
      <c r="AK263" s="238"/>
      <c r="AL263" s="358" t="s">
        <v>580</v>
      </c>
      <c r="AM263" s="48">
        <v>1222663.5599999991</v>
      </c>
      <c r="AN263" s="238" t="s">
        <v>580</v>
      </c>
      <c r="AO263" s="238">
        <v>1191062.1399999999</v>
      </c>
      <c r="AQ263" s="472">
        <f t="shared" si="84"/>
        <v>0</v>
      </c>
      <c r="AS263" t="s">
        <v>580</v>
      </c>
      <c r="AT263" t="s">
        <v>1872</v>
      </c>
      <c r="AU263" s="48">
        <v>929362.3</v>
      </c>
      <c r="AV263" s="48">
        <v>46754.38</v>
      </c>
      <c r="AW263" s="48">
        <v>12515.23</v>
      </c>
      <c r="AX263" s="48">
        <v>0</v>
      </c>
      <c r="AY263" s="48">
        <v>143044.01</v>
      </c>
      <c r="AZ263" s="48">
        <v>25152.720000000001</v>
      </c>
      <c r="BA263" s="48">
        <v>0</v>
      </c>
      <c r="BB263" s="48">
        <v>20668.75</v>
      </c>
      <c r="BC263" s="48">
        <v>5217.5</v>
      </c>
      <c r="BD263" s="48">
        <v>8347.25</v>
      </c>
      <c r="BE263" s="48"/>
      <c r="BF263" s="48">
        <f t="shared" ref="BF263:BF282" si="102">SUM(AU263:BE263)</f>
        <v>1191062.1399999999</v>
      </c>
      <c r="BG263" s="48"/>
      <c r="BH263" s="48"/>
      <c r="BI263" s="48" t="str">
        <f t="shared" si="85"/>
        <v>31201</v>
      </c>
      <c r="BJ263" s="48">
        <f t="shared" si="86"/>
        <v>1191062.1399999999</v>
      </c>
      <c r="BK263" s="628">
        <f t="shared" si="87"/>
        <v>0</v>
      </c>
    </row>
    <row r="264" spans="1:63">
      <c r="A264" s="196">
        <v>257</v>
      </c>
      <c r="B264" s="73" t="s">
        <v>363</v>
      </c>
      <c r="C264" s="139" t="s">
        <v>1135</v>
      </c>
      <c r="D264" s="168">
        <v>5617.1099999999278</v>
      </c>
      <c r="E264" s="170">
        <v>482396.76999999996</v>
      </c>
      <c r="F264" s="171">
        <f t="shared" si="95"/>
        <v>488013.87999999989</v>
      </c>
      <c r="G264" s="181">
        <v>574907.93000000005</v>
      </c>
      <c r="H264" s="178">
        <v>0</v>
      </c>
      <c r="I264" s="170">
        <v>661678.12999999989</v>
      </c>
      <c r="J264" s="171">
        <f t="shared" si="96"/>
        <v>661678.12999999989</v>
      </c>
      <c r="K264" s="202">
        <v>961690.07999999984</v>
      </c>
      <c r="L264" s="171">
        <v>0</v>
      </c>
      <c r="M264" s="197">
        <v>685908.19000000006</v>
      </c>
      <c r="N264" s="171">
        <f t="shared" si="97"/>
        <v>685908.19000000006</v>
      </c>
      <c r="O264" s="202">
        <v>1160180.8</v>
      </c>
      <c r="P264" s="238">
        <v>0</v>
      </c>
      <c r="Q264" s="197">
        <v>744400.6100000001</v>
      </c>
      <c r="R264" s="171">
        <f t="shared" si="98"/>
        <v>744400.6100000001</v>
      </c>
      <c r="S264" s="202">
        <v>1109823.1599999999</v>
      </c>
      <c r="T264" s="238">
        <v>0</v>
      </c>
      <c r="U264" s="238">
        <v>766613.84000000008</v>
      </c>
      <c r="V264" s="171">
        <f t="shared" si="99"/>
        <v>766613.84000000008</v>
      </c>
      <c r="W264" s="56">
        <v>1143073.6399999999</v>
      </c>
      <c r="X264" s="568">
        <f t="shared" ref="X264:X327" si="103">IF(+V264-W264&lt;0,0,(+V264-W264))</f>
        <v>0</v>
      </c>
      <c r="Y264" s="569">
        <v>815263.91999999993</v>
      </c>
      <c r="Z264" s="171">
        <f t="shared" si="100"/>
        <v>815263.91999999993</v>
      </c>
      <c r="AA264" s="48">
        <v>874821.42000000039</v>
      </c>
      <c r="AB264" s="238">
        <f t="shared" ref="AB264:AB327" si="104">IF(+Z264-AA264&lt;0,0,(+Z264-AA264))</f>
        <v>0</v>
      </c>
      <c r="AC264" s="238">
        <v>773008.76000000013</v>
      </c>
      <c r="AD264" s="171">
        <f t="shared" si="101"/>
        <v>773008.76000000013</v>
      </c>
      <c r="AE264" s="238"/>
      <c r="AF264" s="238">
        <f t="shared" ref="AF264:AF327" si="105">+AH264-B264</f>
        <v>0</v>
      </c>
      <c r="AG264" s="196">
        <v>257</v>
      </c>
      <c r="AH264" s="73" t="s">
        <v>363</v>
      </c>
      <c r="AI264" s="139" t="s">
        <v>1135</v>
      </c>
      <c r="AJ264" s="238">
        <f t="shared" ref="AJ264:AJ327" si="106">+AL264-B264</f>
        <v>0</v>
      </c>
      <c r="AK264" s="238"/>
      <c r="AL264" s="358" t="s">
        <v>363</v>
      </c>
      <c r="AM264" s="48">
        <v>874821.42000000039</v>
      </c>
      <c r="AN264" s="238" t="s">
        <v>363</v>
      </c>
      <c r="AO264" s="238">
        <v>773008.76000000013</v>
      </c>
      <c r="AQ264" s="472">
        <f t="shared" ref="AQ264:AQ327" si="107">+AS264-B264</f>
        <v>0</v>
      </c>
      <c r="AS264" t="s">
        <v>363</v>
      </c>
      <c r="AT264" t="s">
        <v>1762</v>
      </c>
      <c r="AU264" s="48">
        <v>637604.63</v>
      </c>
      <c r="AV264" s="48">
        <v>44215.44</v>
      </c>
      <c r="AW264" s="48">
        <v>5197.43</v>
      </c>
      <c r="AX264" s="48">
        <v>0</v>
      </c>
      <c r="AY264" s="48">
        <v>63496.959999999999</v>
      </c>
      <c r="AZ264" s="48">
        <v>9721.76</v>
      </c>
      <c r="BA264" s="48">
        <v>0</v>
      </c>
      <c r="BB264" s="48">
        <v>9125.06</v>
      </c>
      <c r="BC264" s="48">
        <v>3647.48</v>
      </c>
      <c r="BD264" s="48">
        <v>0</v>
      </c>
      <c r="BE264" s="48"/>
      <c r="BF264" s="48">
        <f t="shared" si="102"/>
        <v>773008.76000000013</v>
      </c>
      <c r="BG264" s="48"/>
      <c r="BH264" s="48"/>
      <c r="BI264" s="48" t="str">
        <f t="shared" ref="BI264:BI282" si="108">TEXT(AS264, "00000")</f>
        <v>17410</v>
      </c>
      <c r="BJ264" s="48">
        <f t="shared" ref="BJ264:BJ282" si="109">BF264</f>
        <v>773008.76000000013</v>
      </c>
      <c r="BK264" s="628">
        <f t="shared" ref="BK264:BK327" si="110">+BI264-B264</f>
        <v>0</v>
      </c>
    </row>
    <row r="265" spans="1:63">
      <c r="A265" s="196">
        <v>258</v>
      </c>
      <c r="B265" s="73" t="s">
        <v>285</v>
      </c>
      <c r="C265" s="139" t="s">
        <v>286</v>
      </c>
      <c r="D265" s="168">
        <v>0</v>
      </c>
      <c r="E265" s="170">
        <v>38339.94</v>
      </c>
      <c r="F265" s="171">
        <f t="shared" si="95"/>
        <v>38339.94</v>
      </c>
      <c r="G265" s="181">
        <v>30276.66</v>
      </c>
      <c r="H265" s="178">
        <v>8063.2800000000025</v>
      </c>
      <c r="I265" s="170">
        <v>55770.030000000006</v>
      </c>
      <c r="J265" s="171">
        <f t="shared" si="96"/>
        <v>63833.310000000012</v>
      </c>
      <c r="K265" s="202">
        <v>37086.780000000013</v>
      </c>
      <c r="L265" s="171">
        <v>26746.53</v>
      </c>
      <c r="M265" s="197">
        <v>57281.38</v>
      </c>
      <c r="N265" s="171">
        <f t="shared" si="97"/>
        <v>84027.91</v>
      </c>
      <c r="O265" s="202">
        <v>58363.54</v>
      </c>
      <c r="P265" s="238">
        <v>25664.370000000003</v>
      </c>
      <c r="Q265" s="197">
        <v>61090.39</v>
      </c>
      <c r="R265" s="171">
        <f t="shared" si="98"/>
        <v>86754.760000000009</v>
      </c>
      <c r="S265" s="202">
        <v>48723.349999999991</v>
      </c>
      <c r="T265" s="238">
        <v>38031.410000000018</v>
      </c>
      <c r="U265" s="238">
        <v>62809.67</v>
      </c>
      <c r="V265" s="171">
        <f t="shared" si="99"/>
        <v>100841.08000000002</v>
      </c>
      <c r="W265" s="56">
        <v>56865.81</v>
      </c>
      <c r="X265" s="568">
        <f t="shared" si="103"/>
        <v>43975.270000000019</v>
      </c>
      <c r="Y265" s="569">
        <v>70922.81</v>
      </c>
      <c r="Z265" s="171">
        <f t="shared" si="100"/>
        <v>114898.08000000002</v>
      </c>
      <c r="AA265" s="48">
        <v>100582.95</v>
      </c>
      <c r="AB265" s="238">
        <f t="shared" si="104"/>
        <v>14315.130000000019</v>
      </c>
      <c r="AC265" s="238">
        <v>72360.5</v>
      </c>
      <c r="AD265" s="171">
        <f t="shared" si="101"/>
        <v>86675.630000000019</v>
      </c>
      <c r="AE265" s="238"/>
      <c r="AF265" s="238">
        <f t="shared" si="105"/>
        <v>0</v>
      </c>
      <c r="AG265" s="196">
        <v>258</v>
      </c>
      <c r="AH265" s="73" t="s">
        <v>285</v>
      </c>
      <c r="AI265" s="139" t="s">
        <v>286</v>
      </c>
      <c r="AJ265" s="238">
        <f t="shared" si="106"/>
        <v>0</v>
      </c>
      <c r="AK265" s="238"/>
      <c r="AL265" s="358" t="s">
        <v>285</v>
      </c>
      <c r="AM265" s="48">
        <v>100582.95</v>
      </c>
      <c r="AN265" s="238" t="s">
        <v>285</v>
      </c>
      <c r="AO265" s="238">
        <v>72360.5</v>
      </c>
      <c r="AQ265" s="472">
        <f t="shared" si="107"/>
        <v>0</v>
      </c>
      <c r="AS265" t="s">
        <v>285</v>
      </c>
      <c r="AT265" t="s">
        <v>1722</v>
      </c>
      <c r="AU265" s="48">
        <v>41716.519999999997</v>
      </c>
      <c r="AV265" s="48">
        <v>5489.94</v>
      </c>
      <c r="AW265" s="48">
        <v>764.68</v>
      </c>
      <c r="AX265" s="48">
        <v>0</v>
      </c>
      <c r="AY265" s="48">
        <v>10171.92</v>
      </c>
      <c r="AZ265" s="48">
        <v>3999.14</v>
      </c>
      <c r="BA265" s="48">
        <v>2471.3200000000002</v>
      </c>
      <c r="BB265" s="48">
        <v>3618.34</v>
      </c>
      <c r="BC265" s="48">
        <v>220.46</v>
      </c>
      <c r="BD265" s="48">
        <v>3908.18</v>
      </c>
      <c r="BE265" s="48"/>
      <c r="BF265" s="48">
        <f t="shared" si="102"/>
        <v>72360.5</v>
      </c>
      <c r="BG265" s="48"/>
      <c r="BH265" s="48"/>
      <c r="BI265" s="48" t="str">
        <f t="shared" si="108"/>
        <v>13156</v>
      </c>
      <c r="BJ265" s="48">
        <f t="shared" si="109"/>
        <v>72360.5</v>
      </c>
      <c r="BK265" s="628">
        <f t="shared" si="110"/>
        <v>0</v>
      </c>
    </row>
    <row r="266" spans="1:63">
      <c r="A266" s="196">
        <v>259</v>
      </c>
      <c r="B266" s="73" t="s">
        <v>492</v>
      </c>
      <c r="C266" s="113" t="s">
        <v>493</v>
      </c>
      <c r="D266" s="168">
        <v>593.52000000000044</v>
      </c>
      <c r="E266" s="170">
        <v>38506.43</v>
      </c>
      <c r="F266" s="171">
        <f t="shared" si="95"/>
        <v>39099.949999999997</v>
      </c>
      <c r="G266" s="181">
        <v>28556.23</v>
      </c>
      <c r="H266" s="178">
        <v>10543.719999999998</v>
      </c>
      <c r="I266" s="170">
        <v>57029.45</v>
      </c>
      <c r="J266" s="171">
        <f t="shared" si="96"/>
        <v>67573.17</v>
      </c>
      <c r="K266" s="202">
        <v>45042.710000000006</v>
      </c>
      <c r="L266" s="171">
        <v>22530.459999999992</v>
      </c>
      <c r="M266" s="197">
        <v>58518.17</v>
      </c>
      <c r="N266" s="171">
        <f t="shared" si="97"/>
        <v>81048.62999999999</v>
      </c>
      <c r="O266" s="202">
        <v>71508.3</v>
      </c>
      <c r="P266" s="238">
        <v>9540.3299999999872</v>
      </c>
      <c r="Q266" s="197">
        <v>62536.529999999992</v>
      </c>
      <c r="R266" s="171">
        <f t="shared" si="98"/>
        <v>72076.859999999986</v>
      </c>
      <c r="S266" s="202">
        <v>54180.15</v>
      </c>
      <c r="T266" s="238">
        <v>17896.709999999985</v>
      </c>
      <c r="U266" s="238">
        <v>63905.34</v>
      </c>
      <c r="V266" s="171">
        <f t="shared" si="99"/>
        <v>81802.049999999988</v>
      </c>
      <c r="W266" s="56">
        <v>72351.73</v>
      </c>
      <c r="X266" s="568">
        <f t="shared" si="103"/>
        <v>9450.3199999999924</v>
      </c>
      <c r="Y266" s="569">
        <v>71460.45</v>
      </c>
      <c r="Z266" s="171">
        <f t="shared" si="100"/>
        <v>80910.76999999999</v>
      </c>
      <c r="AA266" s="48">
        <v>65279.79</v>
      </c>
      <c r="AB266" s="238">
        <f t="shared" si="104"/>
        <v>15630.979999999989</v>
      </c>
      <c r="AC266" s="238">
        <v>95196.19</v>
      </c>
      <c r="AD266" s="171">
        <f t="shared" si="101"/>
        <v>110827.16999999998</v>
      </c>
      <c r="AE266" s="238"/>
      <c r="AF266" s="238">
        <f t="shared" si="105"/>
        <v>0</v>
      </c>
      <c r="AG266" s="196">
        <v>259</v>
      </c>
      <c r="AH266" s="73" t="s">
        <v>492</v>
      </c>
      <c r="AI266" s="113" t="s">
        <v>493</v>
      </c>
      <c r="AJ266" s="238">
        <f t="shared" si="106"/>
        <v>0</v>
      </c>
      <c r="AK266" s="238"/>
      <c r="AL266" s="358" t="s">
        <v>492</v>
      </c>
      <c r="AM266" s="48">
        <v>65279.79</v>
      </c>
      <c r="AN266" s="238" t="s">
        <v>492</v>
      </c>
      <c r="AO266" s="238">
        <v>95196.19</v>
      </c>
      <c r="AQ266" s="472">
        <f t="shared" si="107"/>
        <v>0</v>
      </c>
      <c r="AS266" t="s">
        <v>492</v>
      </c>
      <c r="AT266" t="s">
        <v>1828</v>
      </c>
      <c r="AU266" s="48">
        <v>41255.550000000003</v>
      </c>
      <c r="AV266" s="48">
        <v>3200.54</v>
      </c>
      <c r="AW266" s="48">
        <v>507.22</v>
      </c>
      <c r="AX266" s="48">
        <v>0</v>
      </c>
      <c r="AY266" s="48">
        <v>31649.41</v>
      </c>
      <c r="AZ266" s="48">
        <v>8793.7800000000007</v>
      </c>
      <c r="BA266" s="48">
        <v>2455.9</v>
      </c>
      <c r="BB266" s="48">
        <v>5659.53</v>
      </c>
      <c r="BC266" s="48">
        <v>982.05</v>
      </c>
      <c r="BD266" s="48">
        <v>692.21</v>
      </c>
      <c r="BE266" s="48"/>
      <c r="BF266" s="48">
        <f t="shared" si="102"/>
        <v>95196.19</v>
      </c>
      <c r="BG266" s="48"/>
      <c r="BH266" s="48"/>
      <c r="BI266" s="48" t="str">
        <f t="shared" si="108"/>
        <v>25118</v>
      </c>
      <c r="BJ266" s="48">
        <f t="shared" si="109"/>
        <v>95196.19</v>
      </c>
      <c r="BK266" s="628">
        <f t="shared" si="110"/>
        <v>0</v>
      </c>
    </row>
    <row r="267" spans="1:63">
      <c r="A267" s="196">
        <v>260</v>
      </c>
      <c r="B267" s="73" t="s">
        <v>382</v>
      </c>
      <c r="C267" s="113" t="s">
        <v>383</v>
      </c>
      <c r="D267" s="168">
        <v>92036.890000000043</v>
      </c>
      <c r="E267" s="170">
        <v>681166.57</v>
      </c>
      <c r="F267" s="171">
        <f t="shared" si="95"/>
        <v>773203.46</v>
      </c>
      <c r="G267" s="181">
        <v>485198.22</v>
      </c>
      <c r="H267" s="178">
        <v>288005.24</v>
      </c>
      <c r="I267" s="170">
        <v>913578.49</v>
      </c>
      <c r="J267" s="171">
        <f t="shared" si="96"/>
        <v>1201583.73</v>
      </c>
      <c r="K267" s="202">
        <v>650689.18999999994</v>
      </c>
      <c r="L267" s="171">
        <v>550894.54</v>
      </c>
      <c r="M267" s="197">
        <v>921973.61</v>
      </c>
      <c r="N267" s="171">
        <f t="shared" si="97"/>
        <v>1472868.15</v>
      </c>
      <c r="O267" s="202"/>
      <c r="P267" s="238">
        <v>1472868.15</v>
      </c>
      <c r="Q267" s="197">
        <v>1014075.41</v>
      </c>
      <c r="R267" s="171">
        <f t="shared" si="98"/>
        <v>2486943.56</v>
      </c>
      <c r="S267" s="202">
        <v>1311224.8999999999</v>
      </c>
      <c r="T267" s="238">
        <v>1175718.6600000001</v>
      </c>
      <c r="U267" s="238">
        <v>1076705.1200000001</v>
      </c>
      <c r="V267" s="171">
        <f t="shared" si="99"/>
        <v>2252423.7800000003</v>
      </c>
      <c r="W267" s="56">
        <v>1319364.3300000008</v>
      </c>
      <c r="X267" s="568">
        <f t="shared" si="103"/>
        <v>933059.44999999949</v>
      </c>
      <c r="Y267" s="569">
        <v>1139660.08</v>
      </c>
      <c r="Z267" s="171">
        <f t="shared" si="100"/>
        <v>2072719.5299999996</v>
      </c>
      <c r="AA267" s="48">
        <v>1363566.7000000002</v>
      </c>
      <c r="AB267" s="238">
        <f t="shared" si="104"/>
        <v>709152.82999999938</v>
      </c>
      <c r="AC267" s="238">
        <v>1102106.7700000003</v>
      </c>
      <c r="AD267" s="171">
        <f t="shared" si="101"/>
        <v>1811259.5999999996</v>
      </c>
      <c r="AE267" s="238"/>
      <c r="AF267" s="238">
        <f t="shared" si="105"/>
        <v>0</v>
      </c>
      <c r="AG267" s="196">
        <v>260</v>
      </c>
      <c r="AH267" s="73" t="s">
        <v>382</v>
      </c>
      <c r="AI267" s="113" t="s">
        <v>383</v>
      </c>
      <c r="AJ267" s="238">
        <f t="shared" si="106"/>
        <v>0</v>
      </c>
      <c r="AK267" s="238"/>
      <c r="AL267" s="358" t="s">
        <v>382</v>
      </c>
      <c r="AM267" s="48">
        <v>1363566.7000000002</v>
      </c>
      <c r="AN267" s="238" t="s">
        <v>382</v>
      </c>
      <c r="AO267" s="238">
        <v>1102106.7700000003</v>
      </c>
      <c r="AQ267" s="472">
        <f t="shared" si="107"/>
        <v>0</v>
      </c>
      <c r="AS267" t="s">
        <v>382</v>
      </c>
      <c r="AT267" t="s">
        <v>1773</v>
      </c>
      <c r="AU267" s="48">
        <v>776638.13</v>
      </c>
      <c r="AV267" s="48">
        <v>69052.850000000006</v>
      </c>
      <c r="AW267" s="48">
        <v>34255.370000000003</v>
      </c>
      <c r="AX267" s="48">
        <v>0</v>
      </c>
      <c r="AY267" s="48">
        <v>160358.85999999999</v>
      </c>
      <c r="AZ267" s="48">
        <v>42187.05</v>
      </c>
      <c r="BA267" s="48">
        <v>6792.86</v>
      </c>
      <c r="BB267" s="48">
        <v>8033.54</v>
      </c>
      <c r="BC267" s="48">
        <v>4788.1099999999997</v>
      </c>
      <c r="BD267" s="48">
        <v>0</v>
      </c>
      <c r="BE267" s="48"/>
      <c r="BF267" s="48">
        <f t="shared" si="102"/>
        <v>1102106.7700000003</v>
      </c>
      <c r="BG267" s="48"/>
      <c r="BH267" s="48"/>
      <c r="BI267" s="48" t="str">
        <f t="shared" si="108"/>
        <v>18402</v>
      </c>
      <c r="BJ267" s="48">
        <f t="shared" si="109"/>
        <v>1102106.7700000003</v>
      </c>
      <c r="BK267" s="628">
        <f t="shared" si="110"/>
        <v>0</v>
      </c>
    </row>
    <row r="268" spans="1:63">
      <c r="A268" s="196">
        <v>261</v>
      </c>
      <c r="B268" s="73" t="s">
        <v>326</v>
      </c>
      <c r="C268" s="113" t="s">
        <v>327</v>
      </c>
      <c r="D268" s="168">
        <v>0</v>
      </c>
      <c r="E268" s="170">
        <v>96474.500000000015</v>
      </c>
      <c r="F268" s="171">
        <f t="shared" si="95"/>
        <v>96474.500000000015</v>
      </c>
      <c r="G268" s="181">
        <v>88822.92</v>
      </c>
      <c r="H268" s="178">
        <v>7651.5800000000163</v>
      </c>
      <c r="I268" s="170">
        <v>130950.89</v>
      </c>
      <c r="J268" s="171">
        <f t="shared" si="96"/>
        <v>138602.47000000003</v>
      </c>
      <c r="K268" s="202">
        <v>137178.56999999998</v>
      </c>
      <c r="L268" s="171">
        <v>1423.9000000000524</v>
      </c>
      <c r="M268" s="197">
        <v>122238.06</v>
      </c>
      <c r="N268" s="171">
        <f t="shared" si="97"/>
        <v>123661.96000000005</v>
      </c>
      <c r="O268" s="202">
        <v>195163.91999999998</v>
      </c>
      <c r="P268" s="238">
        <v>0</v>
      </c>
      <c r="Q268" s="197">
        <v>128903.36</v>
      </c>
      <c r="R268" s="171">
        <f t="shared" si="98"/>
        <v>128903.36</v>
      </c>
      <c r="S268" s="202">
        <v>152624.91999999998</v>
      </c>
      <c r="T268" s="238">
        <v>0</v>
      </c>
      <c r="U268" s="238">
        <v>127376.13</v>
      </c>
      <c r="V268" s="171">
        <f t="shared" si="99"/>
        <v>127376.13</v>
      </c>
      <c r="W268" s="56">
        <v>129637.97</v>
      </c>
      <c r="X268" s="568">
        <f t="shared" si="103"/>
        <v>0</v>
      </c>
      <c r="Y268" s="569">
        <v>138886.52999999997</v>
      </c>
      <c r="Z268" s="171">
        <f t="shared" si="100"/>
        <v>138886.52999999997</v>
      </c>
      <c r="AA268" s="48">
        <v>152178.84</v>
      </c>
      <c r="AB268" s="238">
        <f t="shared" si="104"/>
        <v>0</v>
      </c>
      <c r="AC268" s="238">
        <v>143571.32999999996</v>
      </c>
      <c r="AD268" s="171">
        <f t="shared" si="101"/>
        <v>143571.32999999996</v>
      </c>
      <c r="AE268" s="238"/>
      <c r="AF268" s="238">
        <f t="shared" si="105"/>
        <v>0</v>
      </c>
      <c r="AG268" s="196">
        <v>261</v>
      </c>
      <c r="AH268" s="73" t="s">
        <v>326</v>
      </c>
      <c r="AI268" s="113" t="s">
        <v>327</v>
      </c>
      <c r="AJ268" s="238">
        <f t="shared" si="106"/>
        <v>0</v>
      </c>
      <c r="AK268" s="238"/>
      <c r="AL268" s="358" t="s">
        <v>326</v>
      </c>
      <c r="AM268" s="48">
        <v>152178.84</v>
      </c>
      <c r="AN268" s="238" t="s">
        <v>326</v>
      </c>
      <c r="AO268" s="238">
        <v>143571.32999999996</v>
      </c>
      <c r="AQ268" s="472">
        <f t="shared" si="107"/>
        <v>0</v>
      </c>
      <c r="AS268" t="s">
        <v>326</v>
      </c>
      <c r="AT268" t="s">
        <v>1743</v>
      </c>
      <c r="AU268" s="48">
        <v>109679.03</v>
      </c>
      <c r="AV268" s="48">
        <v>6454.49</v>
      </c>
      <c r="AW268" s="48">
        <v>0</v>
      </c>
      <c r="AX268" s="48">
        <v>0</v>
      </c>
      <c r="AY268" s="48">
        <v>19371.53</v>
      </c>
      <c r="AZ268" s="48">
        <v>4840.8599999999997</v>
      </c>
      <c r="BA268" s="48">
        <v>140.08000000000001</v>
      </c>
      <c r="BB268" s="48">
        <v>443.88</v>
      </c>
      <c r="BC268" s="48">
        <v>640.36</v>
      </c>
      <c r="BD268" s="48">
        <v>2001.1</v>
      </c>
      <c r="BE268" s="48"/>
      <c r="BF268" s="48">
        <f t="shared" si="102"/>
        <v>143571.32999999996</v>
      </c>
      <c r="BG268" s="48"/>
      <c r="BH268" s="48"/>
      <c r="BI268" s="48" t="str">
        <f t="shared" si="108"/>
        <v>15206</v>
      </c>
      <c r="BJ268" s="48">
        <f t="shared" si="109"/>
        <v>143571.32999999996</v>
      </c>
      <c r="BK268" s="628">
        <f t="shared" si="110"/>
        <v>0</v>
      </c>
    </row>
    <row r="269" spans="1:63">
      <c r="A269" s="196">
        <v>262</v>
      </c>
      <c r="B269" s="73" t="s">
        <v>458</v>
      </c>
      <c r="C269" s="113" t="s">
        <v>459</v>
      </c>
      <c r="D269" s="168">
        <v>0</v>
      </c>
      <c r="E269" s="170">
        <v>11687.57</v>
      </c>
      <c r="F269" s="171">
        <f t="shared" si="95"/>
        <v>11687.57</v>
      </c>
      <c r="G269" s="181"/>
      <c r="H269" s="178">
        <v>11687.57</v>
      </c>
      <c r="I269" s="170">
        <v>19453</v>
      </c>
      <c r="J269" s="171">
        <f t="shared" si="96"/>
        <v>31140.57</v>
      </c>
      <c r="K269" s="202"/>
      <c r="L269" s="171">
        <v>31140.57</v>
      </c>
      <c r="M269" s="197">
        <v>19572.96</v>
      </c>
      <c r="N269" s="171">
        <f t="shared" si="97"/>
        <v>50713.53</v>
      </c>
      <c r="O269" s="202">
        <v>22292.82</v>
      </c>
      <c r="P269" s="238">
        <v>28420.71</v>
      </c>
      <c r="Q269" s="197">
        <v>20621.170000000002</v>
      </c>
      <c r="R269" s="171">
        <f t="shared" si="98"/>
        <v>49041.880000000005</v>
      </c>
      <c r="S269" s="202">
        <v>16767.849999999999</v>
      </c>
      <c r="T269" s="238">
        <v>32274.030000000006</v>
      </c>
      <c r="U269" s="238">
        <v>23815.27</v>
      </c>
      <c r="V269" s="171">
        <f t="shared" si="99"/>
        <v>56089.3</v>
      </c>
      <c r="W269" s="56"/>
      <c r="X269" s="568">
        <f t="shared" si="103"/>
        <v>56089.3</v>
      </c>
      <c r="Y269" s="569">
        <v>25657.420000000002</v>
      </c>
      <c r="Z269" s="171">
        <f t="shared" si="100"/>
        <v>81746.720000000001</v>
      </c>
      <c r="AA269" s="48">
        <v>48688.08</v>
      </c>
      <c r="AB269" s="238">
        <f t="shared" si="104"/>
        <v>33058.639999999999</v>
      </c>
      <c r="AC269" s="238">
        <v>23918.239999999998</v>
      </c>
      <c r="AD269" s="171">
        <f t="shared" si="101"/>
        <v>56976.88</v>
      </c>
      <c r="AE269" s="238"/>
      <c r="AF269" s="238">
        <f t="shared" si="105"/>
        <v>0</v>
      </c>
      <c r="AG269" s="196">
        <v>262</v>
      </c>
      <c r="AH269" s="73" t="s">
        <v>458</v>
      </c>
      <c r="AI269" s="113" t="s">
        <v>459</v>
      </c>
      <c r="AJ269" s="238">
        <f t="shared" si="106"/>
        <v>0</v>
      </c>
      <c r="AK269" s="238"/>
      <c r="AL269" s="358" t="s">
        <v>458</v>
      </c>
      <c r="AM269" s="48">
        <v>48688.08</v>
      </c>
      <c r="AN269" s="238" t="s">
        <v>458</v>
      </c>
      <c r="AO269" s="238">
        <v>23918.239999999998</v>
      </c>
      <c r="AQ269" s="472">
        <f t="shared" si="107"/>
        <v>0</v>
      </c>
      <c r="AS269" t="s">
        <v>458</v>
      </c>
      <c r="AT269" t="s">
        <v>1812</v>
      </c>
      <c r="AU269" s="48">
        <v>18057.78</v>
      </c>
      <c r="AV269" s="48">
        <v>0</v>
      </c>
      <c r="AW269" s="48">
        <v>0</v>
      </c>
      <c r="AX269" s="48">
        <v>0</v>
      </c>
      <c r="AY269" s="48">
        <v>4451.3599999999997</v>
      </c>
      <c r="AZ269" s="48">
        <v>1017.51</v>
      </c>
      <c r="BA269" s="48">
        <v>0</v>
      </c>
      <c r="BB269" s="48">
        <v>299.08999999999997</v>
      </c>
      <c r="BC269" s="48">
        <v>92.5</v>
      </c>
      <c r="BD269" s="48">
        <v>0</v>
      </c>
      <c r="BE269" s="48"/>
      <c r="BF269" s="48">
        <f t="shared" si="102"/>
        <v>23918.239999999998</v>
      </c>
      <c r="BG269" s="48"/>
      <c r="BH269" s="48"/>
      <c r="BI269" s="48" t="str">
        <f t="shared" si="108"/>
        <v>23042</v>
      </c>
      <c r="BJ269" s="48">
        <f t="shared" si="109"/>
        <v>23918.239999999998</v>
      </c>
      <c r="BK269" s="628">
        <f t="shared" si="110"/>
        <v>0</v>
      </c>
    </row>
    <row r="270" spans="1:63">
      <c r="A270" s="196">
        <v>263</v>
      </c>
      <c r="B270" s="73" t="s">
        <v>592</v>
      </c>
      <c r="C270" s="113" t="s">
        <v>593</v>
      </c>
      <c r="D270" s="168">
        <v>0</v>
      </c>
      <c r="E270" s="170">
        <v>2026171.1</v>
      </c>
      <c r="F270" s="171">
        <f t="shared" si="95"/>
        <v>2026171.1</v>
      </c>
      <c r="G270" s="181">
        <v>2025772.12</v>
      </c>
      <c r="H270" s="178">
        <v>398.97999999998137</v>
      </c>
      <c r="I270" s="170">
        <v>2771932.5</v>
      </c>
      <c r="J270" s="171">
        <f t="shared" si="96"/>
        <v>2772331.48</v>
      </c>
      <c r="K270" s="202">
        <v>2717516.1799999992</v>
      </c>
      <c r="L270" s="171">
        <v>54815.300000000745</v>
      </c>
      <c r="M270" s="197">
        <v>2765232.42</v>
      </c>
      <c r="N270" s="171">
        <f t="shared" si="97"/>
        <v>2820047.7200000007</v>
      </c>
      <c r="O270" s="202">
        <v>2765232.42</v>
      </c>
      <c r="P270" s="238">
        <v>54815.300000000745</v>
      </c>
      <c r="Q270" s="197">
        <v>2986523.9399999995</v>
      </c>
      <c r="R270" s="171">
        <f t="shared" si="98"/>
        <v>3041339.24</v>
      </c>
      <c r="S270" s="202">
        <v>2987037.46</v>
      </c>
      <c r="T270" s="238">
        <v>54301.780000000261</v>
      </c>
      <c r="U270" s="238">
        <v>3018244.88</v>
      </c>
      <c r="V270" s="171">
        <f t="shared" si="99"/>
        <v>3072546.66</v>
      </c>
      <c r="W270" s="56">
        <v>3448875.6800000034</v>
      </c>
      <c r="X270" s="568">
        <f t="shared" si="103"/>
        <v>0</v>
      </c>
      <c r="Y270" s="569">
        <v>3184198.95</v>
      </c>
      <c r="Z270" s="171">
        <f t="shared" si="100"/>
        <v>3184198.95</v>
      </c>
      <c r="AA270" s="48">
        <v>3182024.7599999993</v>
      </c>
      <c r="AB270" s="238">
        <f t="shared" si="104"/>
        <v>2174.1900000008754</v>
      </c>
      <c r="AC270" s="238">
        <v>3265251.8800000004</v>
      </c>
      <c r="AD270" s="171">
        <f t="shared" si="101"/>
        <v>3267426.0700000012</v>
      </c>
      <c r="AE270" s="238"/>
      <c r="AF270" s="238">
        <f t="shared" si="105"/>
        <v>0</v>
      </c>
      <c r="AG270" s="196">
        <v>263</v>
      </c>
      <c r="AH270" s="73" t="s">
        <v>592</v>
      </c>
      <c r="AI270" s="113" t="s">
        <v>593</v>
      </c>
      <c r="AJ270" s="238">
        <f t="shared" si="106"/>
        <v>0</v>
      </c>
      <c r="AK270" s="238"/>
      <c r="AL270" s="358" t="s">
        <v>592</v>
      </c>
      <c r="AM270" s="48">
        <v>3182024.7599999993</v>
      </c>
      <c r="AN270" s="238" t="s">
        <v>592</v>
      </c>
      <c r="AO270" s="238">
        <v>3265251.8800000004</v>
      </c>
      <c r="AQ270" s="472">
        <f t="shared" si="107"/>
        <v>0</v>
      </c>
      <c r="AS270" t="s">
        <v>592</v>
      </c>
      <c r="AT270" t="s">
        <v>1878</v>
      </c>
      <c r="AU270" s="48">
        <v>2163320.3199999998</v>
      </c>
      <c r="AV270" s="48">
        <v>94802.98</v>
      </c>
      <c r="AW270" s="48">
        <v>22197.22</v>
      </c>
      <c r="AX270" s="48">
        <v>53891.23</v>
      </c>
      <c r="AY270" s="48">
        <v>585020.74</v>
      </c>
      <c r="AZ270" s="48">
        <v>169769.07</v>
      </c>
      <c r="BA270" s="48">
        <v>81968.429999999993</v>
      </c>
      <c r="BB270" s="48">
        <v>67845.039999999994</v>
      </c>
      <c r="BC270" s="48">
        <v>12595.58</v>
      </c>
      <c r="BD270" s="48">
        <v>13841.27</v>
      </c>
      <c r="BE270" s="48"/>
      <c r="BF270" s="48">
        <f t="shared" si="102"/>
        <v>3265251.8800000004</v>
      </c>
      <c r="BG270" s="48"/>
      <c r="BH270" s="48"/>
      <c r="BI270" s="48" t="str">
        <f t="shared" si="108"/>
        <v>32081</v>
      </c>
      <c r="BJ270" s="48">
        <f t="shared" si="109"/>
        <v>3265251.8800000004</v>
      </c>
      <c r="BK270" s="628">
        <f t="shared" si="110"/>
        <v>0</v>
      </c>
    </row>
    <row r="271" spans="1:63">
      <c r="A271" s="196">
        <v>264</v>
      </c>
      <c r="B271" s="73" t="s">
        <v>1418</v>
      </c>
      <c r="C271" s="113" t="s">
        <v>1417</v>
      </c>
      <c r="D271" s="168">
        <v>3782.8700000000008</v>
      </c>
      <c r="E271" s="170">
        <v>29981.399999999998</v>
      </c>
      <c r="F271" s="171">
        <f t="shared" si="95"/>
        <v>33764.269999999997</v>
      </c>
      <c r="G271" s="181">
        <v>24954.42</v>
      </c>
      <c r="H271" s="179">
        <v>8809.8499999999985</v>
      </c>
      <c r="I271" s="170">
        <v>60079.340000000004</v>
      </c>
      <c r="J271" s="171">
        <f t="shared" si="96"/>
        <v>68889.19</v>
      </c>
      <c r="K271" s="202">
        <v>52371.63</v>
      </c>
      <c r="L271" s="171">
        <v>16517.560000000005</v>
      </c>
      <c r="M271" s="197">
        <v>80523.959999999992</v>
      </c>
      <c r="N271" s="171">
        <f t="shared" si="97"/>
        <v>97041.51999999999</v>
      </c>
      <c r="O271" s="202">
        <v>98642.880000000005</v>
      </c>
      <c r="P271" s="238">
        <v>0</v>
      </c>
      <c r="Q271" s="197">
        <v>91473.76999999999</v>
      </c>
      <c r="R271" s="171">
        <f t="shared" si="98"/>
        <v>91473.76999999999</v>
      </c>
      <c r="S271" s="202">
        <v>111080.93000000001</v>
      </c>
      <c r="T271" s="238">
        <v>0</v>
      </c>
      <c r="U271" s="238">
        <v>92057.98000000001</v>
      </c>
      <c r="V271" s="171">
        <f t="shared" si="99"/>
        <v>92057.98000000001</v>
      </c>
      <c r="W271" s="56">
        <v>129812.30999999998</v>
      </c>
      <c r="X271" s="568">
        <f t="shared" si="103"/>
        <v>0</v>
      </c>
      <c r="Y271" s="569">
        <v>98552.36</v>
      </c>
      <c r="Z271" s="171">
        <f t="shared" si="100"/>
        <v>98552.36</v>
      </c>
      <c r="AA271" s="48">
        <v>143117.50000000003</v>
      </c>
      <c r="AB271" s="238">
        <f t="shared" si="104"/>
        <v>0</v>
      </c>
      <c r="AC271" s="238">
        <v>107551.06999999999</v>
      </c>
      <c r="AD271" s="171">
        <f t="shared" si="101"/>
        <v>107551.06999999999</v>
      </c>
      <c r="AE271" s="238"/>
      <c r="AF271" s="238">
        <f t="shared" si="105"/>
        <v>0</v>
      </c>
      <c r="AG271" s="196">
        <v>264</v>
      </c>
      <c r="AH271" s="73" t="s">
        <v>1418</v>
      </c>
      <c r="AI271" s="113" t="s">
        <v>1417</v>
      </c>
      <c r="AJ271" s="238">
        <f t="shared" si="106"/>
        <v>0</v>
      </c>
      <c r="AK271" s="238"/>
      <c r="AL271" s="358" t="s">
        <v>1418</v>
      </c>
      <c r="AM271" s="48">
        <v>143117.50000000003</v>
      </c>
      <c r="AN271" s="238" t="s">
        <v>1418</v>
      </c>
      <c r="AO271" s="238">
        <v>107551.06999999999</v>
      </c>
      <c r="AQ271" s="472">
        <f t="shared" si="107"/>
        <v>0</v>
      </c>
      <c r="AS271" t="s">
        <v>1418</v>
      </c>
      <c r="AT271" t="s">
        <v>1967</v>
      </c>
      <c r="AU271" s="48">
        <v>84495.26</v>
      </c>
      <c r="AV271" s="48">
        <v>0</v>
      </c>
      <c r="AW271" s="48">
        <v>0</v>
      </c>
      <c r="AX271" s="48">
        <v>0</v>
      </c>
      <c r="AY271" s="48">
        <v>13081.09</v>
      </c>
      <c r="AZ271" s="48">
        <v>4125.55</v>
      </c>
      <c r="BA271" s="48">
        <v>3735.51</v>
      </c>
      <c r="BB271" s="48">
        <v>1735.94</v>
      </c>
      <c r="BC271" s="48">
        <v>377.72</v>
      </c>
      <c r="BD271" s="48">
        <v>0</v>
      </c>
      <c r="BE271" s="48"/>
      <c r="BF271" s="48">
        <f t="shared" si="102"/>
        <v>107551.06999999999</v>
      </c>
      <c r="BG271" s="48"/>
      <c r="BH271" s="48"/>
      <c r="BI271" s="48" t="str">
        <f t="shared" si="108"/>
        <v>32901</v>
      </c>
      <c r="BJ271" s="48">
        <f t="shared" si="109"/>
        <v>107551.06999999999</v>
      </c>
      <c r="BK271" s="628">
        <f t="shared" si="110"/>
        <v>0</v>
      </c>
    </row>
    <row r="272" spans="1:63">
      <c r="A272" s="196">
        <v>265</v>
      </c>
      <c r="B272" s="73" t="s">
        <v>442</v>
      </c>
      <c r="C272" s="139" t="s">
        <v>443</v>
      </c>
      <c r="D272" s="168">
        <v>0</v>
      </c>
      <c r="E272" s="170">
        <v>11826.68</v>
      </c>
      <c r="F272" s="171">
        <f t="shared" si="95"/>
        <v>11826.68</v>
      </c>
      <c r="G272" s="181">
        <v>5760.83</v>
      </c>
      <c r="H272" s="178">
        <v>6065.85</v>
      </c>
      <c r="I272" s="170">
        <v>17912.149999999998</v>
      </c>
      <c r="J272" s="171">
        <f t="shared" si="96"/>
        <v>23978</v>
      </c>
      <c r="K272" s="202">
        <v>13827.349999999999</v>
      </c>
      <c r="L272" s="171">
        <v>10150.650000000001</v>
      </c>
      <c r="M272" s="197">
        <v>17930.599999999999</v>
      </c>
      <c r="N272" s="171">
        <f t="shared" si="97"/>
        <v>28081.25</v>
      </c>
      <c r="O272" s="202">
        <v>15983.18</v>
      </c>
      <c r="P272" s="238">
        <v>12098.07</v>
      </c>
      <c r="Q272" s="197">
        <v>18956.64</v>
      </c>
      <c r="R272" s="171">
        <f t="shared" si="98"/>
        <v>31054.71</v>
      </c>
      <c r="S272" s="202">
        <v>17877.059999999998</v>
      </c>
      <c r="T272" s="238">
        <v>13177.650000000001</v>
      </c>
      <c r="U272" s="238">
        <v>19031.84</v>
      </c>
      <c r="V272" s="171">
        <f t="shared" si="99"/>
        <v>32209.49</v>
      </c>
      <c r="W272" s="56">
        <v>19563.060000000005</v>
      </c>
      <c r="X272" s="568">
        <f t="shared" si="103"/>
        <v>12646.429999999997</v>
      </c>
      <c r="Y272" s="569">
        <v>19526.700000000004</v>
      </c>
      <c r="Z272" s="171">
        <f t="shared" si="100"/>
        <v>32173.13</v>
      </c>
      <c r="AA272" s="48">
        <v>19312.889999999996</v>
      </c>
      <c r="AB272" s="238">
        <f t="shared" si="104"/>
        <v>12860.240000000005</v>
      </c>
      <c r="AC272" s="238">
        <v>21081.18</v>
      </c>
      <c r="AD272" s="171">
        <f t="shared" si="101"/>
        <v>33941.420000000006</v>
      </c>
      <c r="AE272" s="238"/>
      <c r="AF272" s="238">
        <f t="shared" si="105"/>
        <v>0</v>
      </c>
      <c r="AG272" s="196">
        <v>265</v>
      </c>
      <c r="AH272" s="73" t="s">
        <v>442</v>
      </c>
      <c r="AI272" s="139" t="s">
        <v>443</v>
      </c>
      <c r="AJ272" s="238">
        <f t="shared" si="106"/>
        <v>0</v>
      </c>
      <c r="AK272" s="238"/>
      <c r="AL272" s="358" t="s">
        <v>442</v>
      </c>
      <c r="AM272" s="48">
        <v>19312.889999999996</v>
      </c>
      <c r="AN272" s="238" t="s">
        <v>442</v>
      </c>
      <c r="AO272" s="238">
        <v>21081.18</v>
      </c>
      <c r="AQ272" s="472">
        <f t="shared" si="107"/>
        <v>0</v>
      </c>
      <c r="AS272" t="s">
        <v>442</v>
      </c>
      <c r="AT272" t="s">
        <v>1804</v>
      </c>
      <c r="AU272" s="48">
        <v>17824.990000000002</v>
      </c>
      <c r="AV272" s="48">
        <v>345.34</v>
      </c>
      <c r="AW272" s="48">
        <v>0</v>
      </c>
      <c r="AX272" s="48">
        <v>0</v>
      </c>
      <c r="AY272" s="48">
        <v>2386.6799999999998</v>
      </c>
      <c r="AZ272" s="48">
        <v>286.76</v>
      </c>
      <c r="BA272" s="48">
        <v>214.29</v>
      </c>
      <c r="BB272" s="48">
        <v>0</v>
      </c>
      <c r="BC272" s="48">
        <v>23.12</v>
      </c>
      <c r="BD272" s="48">
        <v>0</v>
      </c>
      <c r="BE272" s="48"/>
      <c r="BF272" s="48">
        <f t="shared" si="102"/>
        <v>21081.18</v>
      </c>
      <c r="BG272" s="48"/>
      <c r="BH272" s="48"/>
      <c r="BI272" s="48" t="str">
        <f t="shared" si="108"/>
        <v>22008</v>
      </c>
      <c r="BJ272" s="48">
        <f t="shared" si="109"/>
        <v>21081.18</v>
      </c>
      <c r="BK272" s="628">
        <f t="shared" si="110"/>
        <v>0</v>
      </c>
    </row>
    <row r="273" spans="1:63">
      <c r="A273" s="196">
        <v>266</v>
      </c>
      <c r="B273" s="73" t="s">
        <v>707</v>
      </c>
      <c r="C273" s="139" t="s">
        <v>708</v>
      </c>
      <c r="D273" s="168">
        <v>0</v>
      </c>
      <c r="E273" s="170">
        <v>14023.789999999999</v>
      </c>
      <c r="F273" s="171">
        <f t="shared" si="95"/>
        <v>14023.789999999999</v>
      </c>
      <c r="G273" s="181">
        <v>13063.94</v>
      </c>
      <c r="H273" s="178">
        <v>959.84999999999854</v>
      </c>
      <c r="I273" s="170">
        <v>21847.350000000002</v>
      </c>
      <c r="J273" s="171">
        <f t="shared" si="96"/>
        <v>22807.200000000001</v>
      </c>
      <c r="K273" s="202">
        <v>20262.52</v>
      </c>
      <c r="L273" s="171">
        <v>2544.6800000000003</v>
      </c>
      <c r="M273" s="197">
        <v>21300.260000000002</v>
      </c>
      <c r="N273" s="171">
        <f t="shared" si="97"/>
        <v>23844.940000000002</v>
      </c>
      <c r="O273" s="202">
        <v>21485.74</v>
      </c>
      <c r="P273" s="238">
        <v>2359.2000000000007</v>
      </c>
      <c r="Q273" s="197">
        <v>24425.62</v>
      </c>
      <c r="R273" s="171">
        <f t="shared" si="98"/>
        <v>26784.82</v>
      </c>
      <c r="S273" s="202">
        <v>21067.61</v>
      </c>
      <c r="T273" s="238">
        <v>5717.2099999999991</v>
      </c>
      <c r="U273" s="238">
        <v>24284.949999999997</v>
      </c>
      <c r="V273" s="171">
        <f t="shared" si="99"/>
        <v>30002.159999999996</v>
      </c>
      <c r="W273" s="56"/>
      <c r="X273" s="568">
        <f t="shared" si="103"/>
        <v>30002.159999999996</v>
      </c>
      <c r="Y273" s="569">
        <v>28014.84</v>
      </c>
      <c r="Z273" s="171">
        <f t="shared" si="100"/>
        <v>58017</v>
      </c>
      <c r="AA273" s="48">
        <v>19214.98</v>
      </c>
      <c r="AB273" s="238">
        <f t="shared" si="104"/>
        <v>38802.020000000004</v>
      </c>
      <c r="AC273" s="238">
        <v>27643.93</v>
      </c>
      <c r="AD273" s="171">
        <f t="shared" si="101"/>
        <v>66445.950000000012</v>
      </c>
      <c r="AE273" s="238"/>
      <c r="AF273" s="238">
        <f t="shared" si="105"/>
        <v>0</v>
      </c>
      <c r="AG273" s="196">
        <v>266</v>
      </c>
      <c r="AH273" s="73" t="s">
        <v>707</v>
      </c>
      <c r="AI273" s="139" t="s">
        <v>708</v>
      </c>
      <c r="AJ273" s="238">
        <f t="shared" si="106"/>
        <v>0</v>
      </c>
      <c r="AK273" s="238"/>
      <c r="AL273" s="358" t="s">
        <v>707</v>
      </c>
      <c r="AM273" s="48">
        <v>19214.98</v>
      </c>
      <c r="AN273" s="238" t="s">
        <v>707</v>
      </c>
      <c r="AO273" s="238">
        <v>27643.93</v>
      </c>
      <c r="AQ273" s="472">
        <f t="shared" si="107"/>
        <v>0</v>
      </c>
      <c r="AS273" t="s">
        <v>707</v>
      </c>
      <c r="AT273" t="s">
        <v>1940</v>
      </c>
      <c r="AU273" s="48">
        <v>22551.8</v>
      </c>
      <c r="AV273" s="48">
        <v>629.01</v>
      </c>
      <c r="AW273" s="48">
        <v>0</v>
      </c>
      <c r="AX273" s="48">
        <v>0</v>
      </c>
      <c r="AY273" s="48">
        <v>2582.2600000000002</v>
      </c>
      <c r="AZ273" s="48">
        <v>743.09</v>
      </c>
      <c r="BA273" s="48">
        <v>189.63</v>
      </c>
      <c r="BB273" s="48">
        <v>0</v>
      </c>
      <c r="BC273" s="48">
        <v>63.21</v>
      </c>
      <c r="BD273" s="48">
        <v>884.93</v>
      </c>
      <c r="BE273" s="48"/>
      <c r="BF273" s="48">
        <f t="shared" si="102"/>
        <v>27643.93</v>
      </c>
      <c r="BG273" s="48"/>
      <c r="BH273" s="48"/>
      <c r="BI273" s="48" t="str">
        <f t="shared" si="108"/>
        <v>38322</v>
      </c>
      <c r="BJ273" s="48">
        <f t="shared" si="109"/>
        <v>27643.93</v>
      </c>
      <c r="BK273" s="628">
        <f t="shared" si="110"/>
        <v>0</v>
      </c>
    </row>
    <row r="274" spans="1:63">
      <c r="A274" s="196">
        <v>267</v>
      </c>
      <c r="B274" s="73" t="s">
        <v>590</v>
      </c>
      <c r="C274" s="139" t="s">
        <v>591</v>
      </c>
      <c r="D274" s="168">
        <v>3504.6899999999732</v>
      </c>
      <c r="E274" s="170">
        <v>340178.78</v>
      </c>
      <c r="F274" s="171">
        <f t="shared" si="95"/>
        <v>343683.47</v>
      </c>
      <c r="G274" s="181">
        <v>324945.01</v>
      </c>
      <c r="H274" s="178">
        <v>18738.459999999963</v>
      </c>
      <c r="I274" s="170">
        <v>453492.13</v>
      </c>
      <c r="J274" s="171">
        <f t="shared" si="96"/>
        <v>472230.58999999997</v>
      </c>
      <c r="K274" s="202">
        <v>483278.98999999987</v>
      </c>
      <c r="L274" s="171">
        <v>0</v>
      </c>
      <c r="M274" s="197">
        <v>480010.82</v>
      </c>
      <c r="N274" s="171">
        <f t="shared" si="97"/>
        <v>480010.82</v>
      </c>
      <c r="O274" s="202">
        <v>480010.81000000006</v>
      </c>
      <c r="P274" s="238">
        <v>9.9999999511055648E-3</v>
      </c>
      <c r="Q274" s="197">
        <v>532344.94999999995</v>
      </c>
      <c r="R274" s="171">
        <f t="shared" si="98"/>
        <v>532344.96</v>
      </c>
      <c r="S274" s="202">
        <v>532344.94999999995</v>
      </c>
      <c r="T274" s="238">
        <v>1.0000000009313226E-2</v>
      </c>
      <c r="U274" s="238">
        <v>542546.99</v>
      </c>
      <c r="V274" s="171">
        <f t="shared" si="99"/>
        <v>542547</v>
      </c>
      <c r="W274" s="56">
        <v>542547.00000000035</v>
      </c>
      <c r="X274" s="568">
        <f t="shared" si="103"/>
        <v>0</v>
      </c>
      <c r="Y274" s="569">
        <v>578249.12</v>
      </c>
      <c r="Z274" s="171">
        <f t="shared" si="100"/>
        <v>578249.12</v>
      </c>
      <c r="AA274" s="48">
        <v>564258.76</v>
      </c>
      <c r="AB274" s="238">
        <f t="shared" si="104"/>
        <v>13990.359999999986</v>
      </c>
      <c r="AC274" s="238">
        <v>565945.02</v>
      </c>
      <c r="AD274" s="171">
        <f t="shared" si="101"/>
        <v>579935.38</v>
      </c>
      <c r="AE274" s="238"/>
      <c r="AF274" s="238">
        <f t="shared" si="105"/>
        <v>0</v>
      </c>
      <c r="AG274" s="196">
        <v>267</v>
      </c>
      <c r="AH274" s="73" t="s">
        <v>590</v>
      </c>
      <c r="AI274" s="139" t="s">
        <v>591</v>
      </c>
      <c r="AJ274" s="238">
        <f t="shared" si="106"/>
        <v>0</v>
      </c>
      <c r="AK274" s="238"/>
      <c r="AL274" s="358" t="s">
        <v>590</v>
      </c>
      <c r="AM274" s="48">
        <v>564258.76</v>
      </c>
      <c r="AN274" s="238" t="s">
        <v>590</v>
      </c>
      <c r="AO274" s="238">
        <v>565945.02</v>
      </c>
      <c r="AQ274" s="472">
        <f t="shared" si="107"/>
        <v>0</v>
      </c>
      <c r="AS274" t="s">
        <v>590</v>
      </c>
      <c r="AT274" t="s">
        <v>1877</v>
      </c>
      <c r="AU274" s="48">
        <v>405899.88</v>
      </c>
      <c r="AV274" s="48">
        <v>38011.53</v>
      </c>
      <c r="AW274" s="48">
        <v>7725.71</v>
      </c>
      <c r="AX274" s="48">
        <v>0</v>
      </c>
      <c r="AY274" s="48">
        <v>83907.61</v>
      </c>
      <c r="AZ274" s="48">
        <v>17143.189999999999</v>
      </c>
      <c r="BA274" s="48">
        <v>0</v>
      </c>
      <c r="BB274" s="48">
        <v>5073.57</v>
      </c>
      <c r="BC274" s="48">
        <v>2450.0500000000002</v>
      </c>
      <c r="BD274" s="48">
        <v>5733.48</v>
      </c>
      <c r="BE274" s="48"/>
      <c r="BF274" s="48">
        <f t="shared" si="102"/>
        <v>565945.02</v>
      </c>
      <c r="BG274" s="48"/>
      <c r="BH274" s="48"/>
      <c r="BI274" s="48" t="str">
        <f t="shared" si="108"/>
        <v>31401</v>
      </c>
      <c r="BJ274" s="48">
        <f t="shared" si="109"/>
        <v>565945.02</v>
      </c>
      <c r="BK274" s="628">
        <f t="shared" si="110"/>
        <v>0</v>
      </c>
    </row>
    <row r="275" spans="1:63">
      <c r="A275" s="196">
        <v>268</v>
      </c>
      <c r="B275" s="73" t="s">
        <v>271</v>
      </c>
      <c r="C275" s="139" t="s">
        <v>272</v>
      </c>
      <c r="D275" s="168">
        <v>32.439999999999827</v>
      </c>
      <c r="E275" s="170">
        <v>2068.1799999999998</v>
      </c>
      <c r="F275" s="171">
        <f t="shared" si="95"/>
        <v>2100.62</v>
      </c>
      <c r="G275" s="181"/>
      <c r="H275" s="178">
        <v>2100.62</v>
      </c>
      <c r="I275" s="170">
        <v>3150.87</v>
      </c>
      <c r="J275" s="171">
        <f t="shared" si="96"/>
        <v>5251.49</v>
      </c>
      <c r="K275" s="202"/>
      <c r="L275" s="171">
        <v>5251.49</v>
      </c>
      <c r="M275" s="197">
        <v>2915.85</v>
      </c>
      <c r="N275" s="171">
        <f t="shared" si="97"/>
        <v>8167.34</v>
      </c>
      <c r="O275" s="202">
        <v>2434.67</v>
      </c>
      <c r="P275" s="238">
        <v>5732.67</v>
      </c>
      <c r="Q275" s="197">
        <v>3056.14</v>
      </c>
      <c r="R275" s="171">
        <f t="shared" si="98"/>
        <v>8788.81</v>
      </c>
      <c r="S275" s="202">
        <v>5017.83</v>
      </c>
      <c r="T275" s="238">
        <v>3770.9799999999996</v>
      </c>
      <c r="U275" s="238">
        <v>2933.41</v>
      </c>
      <c r="V275" s="171">
        <f t="shared" si="99"/>
        <v>6704.3899999999994</v>
      </c>
      <c r="W275" s="56">
        <v>7274.6799999999994</v>
      </c>
      <c r="X275" s="568">
        <f t="shared" si="103"/>
        <v>0</v>
      </c>
      <c r="Y275" s="569">
        <v>3205.9</v>
      </c>
      <c r="Z275" s="171">
        <f t="shared" si="100"/>
        <v>3205.9</v>
      </c>
      <c r="AA275" s="48">
        <v>2842.71</v>
      </c>
      <c r="AB275" s="238">
        <f t="shared" si="104"/>
        <v>363.19000000000005</v>
      </c>
      <c r="AC275" s="238">
        <v>3162.3900000000003</v>
      </c>
      <c r="AD275" s="171">
        <f t="shared" si="101"/>
        <v>3525.5800000000004</v>
      </c>
      <c r="AE275" s="238"/>
      <c r="AF275" s="238">
        <f t="shared" si="105"/>
        <v>0</v>
      </c>
      <c r="AG275" s="196">
        <v>268</v>
      </c>
      <c r="AH275" s="73" t="s">
        <v>271</v>
      </c>
      <c r="AI275" s="139" t="s">
        <v>272</v>
      </c>
      <c r="AJ275" s="238">
        <f t="shared" si="106"/>
        <v>0</v>
      </c>
      <c r="AK275" s="238"/>
      <c r="AL275" s="358" t="s">
        <v>271</v>
      </c>
      <c r="AM275" s="48">
        <v>2842.71</v>
      </c>
      <c r="AN275" s="238" t="s">
        <v>271</v>
      </c>
      <c r="AO275" s="238">
        <v>3162.3900000000003</v>
      </c>
      <c r="AQ275" s="472">
        <f t="shared" si="107"/>
        <v>0</v>
      </c>
      <c r="AS275" t="s">
        <v>271</v>
      </c>
      <c r="AT275" t="s">
        <v>1715</v>
      </c>
      <c r="AU275" s="48">
        <v>3088</v>
      </c>
      <c r="AV275" s="48">
        <v>0</v>
      </c>
      <c r="AW275" s="48">
        <v>0</v>
      </c>
      <c r="AX275" s="48">
        <v>0</v>
      </c>
      <c r="AY275" s="48">
        <v>69.760000000000005</v>
      </c>
      <c r="AZ275" s="48">
        <v>0</v>
      </c>
      <c r="BA275" s="48">
        <v>0</v>
      </c>
      <c r="BB275" s="48">
        <v>0</v>
      </c>
      <c r="BC275" s="48">
        <v>4.63</v>
      </c>
      <c r="BD275" s="48">
        <v>0</v>
      </c>
      <c r="BE275" s="48"/>
      <c r="BF275" s="48">
        <f t="shared" si="102"/>
        <v>3162.3900000000003</v>
      </c>
      <c r="BG275" s="48"/>
      <c r="BH275" s="48"/>
      <c r="BI275" s="48" t="str">
        <f t="shared" si="108"/>
        <v>11054</v>
      </c>
      <c r="BJ275" s="48">
        <f t="shared" si="109"/>
        <v>3162.3900000000003</v>
      </c>
      <c r="BK275" s="628">
        <f t="shared" si="110"/>
        <v>0</v>
      </c>
    </row>
    <row r="276" spans="1:63">
      <c r="A276" s="196">
        <v>269</v>
      </c>
      <c r="B276" s="73" t="s">
        <v>231</v>
      </c>
      <c r="C276" s="139" t="s">
        <v>232</v>
      </c>
      <c r="D276" s="168">
        <v>144.45000000000027</v>
      </c>
      <c r="E276" s="170">
        <v>3646.2400000000002</v>
      </c>
      <c r="F276" s="171">
        <f t="shared" si="95"/>
        <v>3790.6900000000005</v>
      </c>
      <c r="G276" s="181"/>
      <c r="H276" s="178">
        <v>3790.6900000000005</v>
      </c>
      <c r="I276" s="170">
        <v>5362.2</v>
      </c>
      <c r="J276" s="171">
        <f t="shared" si="96"/>
        <v>9152.89</v>
      </c>
      <c r="K276" s="202">
        <v>3527</v>
      </c>
      <c r="L276" s="171">
        <v>5625.8899999999994</v>
      </c>
      <c r="M276" s="197">
        <v>14781.189999999999</v>
      </c>
      <c r="N276" s="171">
        <f t="shared" si="97"/>
        <v>20407.079999999998</v>
      </c>
      <c r="O276" s="202">
        <v>4862.67</v>
      </c>
      <c r="P276" s="238">
        <v>15544.409999999998</v>
      </c>
      <c r="Q276" s="197">
        <v>15594.35</v>
      </c>
      <c r="R276" s="171">
        <f t="shared" si="98"/>
        <v>31138.76</v>
      </c>
      <c r="S276" s="202">
        <v>5395.7300000000005</v>
      </c>
      <c r="T276" s="238">
        <v>25743.03</v>
      </c>
      <c r="U276" s="238">
        <v>13648.61</v>
      </c>
      <c r="V276" s="171">
        <f t="shared" si="99"/>
        <v>39391.64</v>
      </c>
      <c r="W276" s="56">
        <v>3758.1</v>
      </c>
      <c r="X276" s="568">
        <f t="shared" si="103"/>
        <v>35633.54</v>
      </c>
      <c r="Y276" s="569">
        <v>18387.900000000001</v>
      </c>
      <c r="Z276" s="171">
        <f t="shared" si="100"/>
        <v>54021.440000000002</v>
      </c>
      <c r="AA276" s="48">
        <v>5739.4499999999989</v>
      </c>
      <c r="AB276" s="238">
        <f t="shared" si="104"/>
        <v>48281.990000000005</v>
      </c>
      <c r="AC276" s="238">
        <v>20775.519999999997</v>
      </c>
      <c r="AD276" s="171">
        <f t="shared" si="101"/>
        <v>69057.510000000009</v>
      </c>
      <c r="AE276" s="238"/>
      <c r="AF276" s="238">
        <f t="shared" si="105"/>
        <v>0</v>
      </c>
      <c r="AG276" s="196">
        <v>269</v>
      </c>
      <c r="AH276" s="73" t="s">
        <v>231</v>
      </c>
      <c r="AI276" s="139" t="s">
        <v>232</v>
      </c>
      <c r="AJ276" s="238">
        <f t="shared" si="106"/>
        <v>0</v>
      </c>
      <c r="AK276" s="238"/>
      <c r="AL276" s="358" t="s">
        <v>231</v>
      </c>
      <c r="AM276" s="48">
        <v>5739.4499999999989</v>
      </c>
      <c r="AN276" s="238" t="s">
        <v>231</v>
      </c>
      <c r="AO276" s="238">
        <v>20775.519999999997</v>
      </c>
      <c r="AQ276" s="472">
        <f t="shared" si="107"/>
        <v>0</v>
      </c>
      <c r="AS276" t="s">
        <v>231</v>
      </c>
      <c r="AT276" t="s">
        <v>1695</v>
      </c>
      <c r="AU276" s="48">
        <v>2189.19</v>
      </c>
      <c r="AV276" s="48">
        <v>0</v>
      </c>
      <c r="AW276" s="48">
        <v>0</v>
      </c>
      <c r="AX276" s="48">
        <v>0</v>
      </c>
      <c r="AY276" s="48">
        <v>11468.34</v>
      </c>
      <c r="AZ276" s="48">
        <v>6143.63</v>
      </c>
      <c r="BA276" s="48">
        <v>111.01</v>
      </c>
      <c r="BB276" s="48">
        <v>0</v>
      </c>
      <c r="BC276" s="48">
        <v>0</v>
      </c>
      <c r="BD276" s="48">
        <v>863.35</v>
      </c>
      <c r="BE276" s="48"/>
      <c r="BF276" s="48">
        <f t="shared" si="102"/>
        <v>20775.519999999997</v>
      </c>
      <c r="BG276" s="48"/>
      <c r="BH276" s="48"/>
      <c r="BI276" s="48" t="str">
        <f t="shared" si="108"/>
        <v>07035</v>
      </c>
      <c r="BJ276" s="48">
        <f t="shared" si="109"/>
        <v>20775.519999999997</v>
      </c>
      <c r="BK276" s="628">
        <f t="shared" si="110"/>
        <v>0</v>
      </c>
    </row>
    <row r="277" spans="1:63">
      <c r="A277" s="196">
        <v>270</v>
      </c>
      <c r="B277" s="73" t="s">
        <v>191</v>
      </c>
      <c r="C277" s="139" t="s">
        <v>192</v>
      </c>
      <c r="D277" s="168">
        <v>872.78</v>
      </c>
      <c r="E277" s="170">
        <v>2073.58</v>
      </c>
      <c r="F277" s="171">
        <f t="shared" si="95"/>
        <v>2946.3599999999997</v>
      </c>
      <c r="G277" s="181"/>
      <c r="H277" s="178">
        <v>2946.3599999999997</v>
      </c>
      <c r="I277" s="170">
        <v>2889.57</v>
      </c>
      <c r="J277" s="171">
        <f t="shared" si="96"/>
        <v>5835.93</v>
      </c>
      <c r="K277" s="202"/>
      <c r="L277" s="171">
        <v>5835.93</v>
      </c>
      <c r="M277" s="197">
        <v>3327.13</v>
      </c>
      <c r="N277" s="171">
        <f t="shared" si="97"/>
        <v>9163.0600000000013</v>
      </c>
      <c r="O277" s="202"/>
      <c r="P277" s="238">
        <v>9163.0600000000013</v>
      </c>
      <c r="Q277" s="197">
        <v>3250.33</v>
      </c>
      <c r="R277" s="171">
        <f t="shared" si="98"/>
        <v>12413.390000000001</v>
      </c>
      <c r="S277" s="202">
        <v>0</v>
      </c>
      <c r="T277" s="238">
        <v>12413.390000000001</v>
      </c>
      <c r="U277" s="238">
        <v>3249.85</v>
      </c>
      <c r="V277" s="171">
        <f t="shared" si="99"/>
        <v>15663.240000000002</v>
      </c>
      <c r="W277" s="56">
        <v>15663.24</v>
      </c>
      <c r="X277" s="568">
        <f t="shared" si="103"/>
        <v>1.8189894035458565E-12</v>
      </c>
      <c r="Y277" s="569">
        <v>3605.68</v>
      </c>
      <c r="Z277" s="171">
        <f t="shared" si="100"/>
        <v>3605.6800000000017</v>
      </c>
      <c r="AA277" s="48">
        <v>3605.68</v>
      </c>
      <c r="AB277" s="238">
        <f t="shared" si="104"/>
        <v>1.8189894035458565E-12</v>
      </c>
      <c r="AC277" s="238">
        <v>3550.5</v>
      </c>
      <c r="AD277" s="171">
        <f t="shared" si="101"/>
        <v>3550.5000000000018</v>
      </c>
      <c r="AE277" s="238"/>
      <c r="AF277" s="238">
        <f t="shared" si="105"/>
        <v>0</v>
      </c>
      <c r="AG277" s="196">
        <v>270</v>
      </c>
      <c r="AH277" s="73" t="s">
        <v>191</v>
      </c>
      <c r="AI277" s="139" t="s">
        <v>192</v>
      </c>
      <c r="AJ277" s="238">
        <f t="shared" si="106"/>
        <v>0</v>
      </c>
      <c r="AK277" s="238"/>
      <c r="AL277" s="358" t="s">
        <v>191</v>
      </c>
      <c r="AM277" s="48">
        <v>3605.68</v>
      </c>
      <c r="AN277" s="238" t="s">
        <v>191</v>
      </c>
      <c r="AO277" s="238">
        <v>3550.5</v>
      </c>
      <c r="AQ277" s="472">
        <f t="shared" si="107"/>
        <v>0</v>
      </c>
      <c r="AS277" t="s">
        <v>191</v>
      </c>
      <c r="AT277" t="s">
        <v>1673</v>
      </c>
      <c r="AU277" s="48">
        <v>3550.5</v>
      </c>
      <c r="AV277" s="48">
        <v>0</v>
      </c>
      <c r="AW277" s="48">
        <v>0</v>
      </c>
      <c r="AX277" s="48">
        <v>0</v>
      </c>
      <c r="AY277" s="48">
        <v>0</v>
      </c>
      <c r="AZ277" s="48">
        <v>0</v>
      </c>
      <c r="BA277" s="48">
        <v>0</v>
      </c>
      <c r="BB277" s="48">
        <v>0</v>
      </c>
      <c r="BC277" s="48">
        <v>0</v>
      </c>
      <c r="BD277" s="48">
        <v>0</v>
      </c>
      <c r="BE277" s="48"/>
      <c r="BF277" s="48">
        <f t="shared" si="102"/>
        <v>3550.5</v>
      </c>
      <c r="BG277" s="48"/>
      <c r="BH277" s="48"/>
      <c r="BI277" s="48" t="str">
        <f t="shared" si="108"/>
        <v>04069</v>
      </c>
      <c r="BJ277" s="48">
        <f t="shared" si="109"/>
        <v>3550.5</v>
      </c>
      <c r="BK277" s="628">
        <f t="shared" si="110"/>
        <v>0</v>
      </c>
    </row>
    <row r="278" spans="1:63">
      <c r="A278" s="196">
        <v>271</v>
      </c>
      <c r="B278" s="73" t="s">
        <v>505</v>
      </c>
      <c r="C278" s="139" t="s">
        <v>506</v>
      </c>
      <c r="D278" s="168">
        <v>22919.229999999996</v>
      </c>
      <c r="E278" s="170">
        <v>207557.63</v>
      </c>
      <c r="F278" s="171">
        <f t="shared" si="95"/>
        <v>230476.86</v>
      </c>
      <c r="G278" s="181">
        <v>180765.44</v>
      </c>
      <c r="H278" s="178">
        <v>49711.419999999984</v>
      </c>
      <c r="I278" s="170">
        <v>281547.06</v>
      </c>
      <c r="J278" s="171">
        <f t="shared" si="96"/>
        <v>331258.48</v>
      </c>
      <c r="K278" s="202">
        <v>331258.2</v>
      </c>
      <c r="L278" s="171">
        <v>0.27999999996973202</v>
      </c>
      <c r="M278" s="197">
        <v>281002.34000000003</v>
      </c>
      <c r="N278" s="171">
        <f t="shared" si="97"/>
        <v>281002.62</v>
      </c>
      <c r="O278" s="202">
        <v>281002.56</v>
      </c>
      <c r="P278" s="238">
        <v>5.9999999997671694E-2</v>
      </c>
      <c r="Q278" s="197">
        <v>301901.27999999997</v>
      </c>
      <c r="R278" s="171">
        <f t="shared" si="98"/>
        <v>301901.33999999997</v>
      </c>
      <c r="S278" s="202">
        <v>265883.84999999998</v>
      </c>
      <c r="T278" s="238">
        <v>36017.489999999991</v>
      </c>
      <c r="U278" s="238">
        <v>306327.90999999997</v>
      </c>
      <c r="V278" s="171">
        <f t="shared" si="99"/>
        <v>342345.39999999997</v>
      </c>
      <c r="W278" s="56">
        <v>325358.1100000001</v>
      </c>
      <c r="X278" s="568">
        <f t="shared" si="103"/>
        <v>16987.289999999863</v>
      </c>
      <c r="Y278" s="569">
        <v>326171.76</v>
      </c>
      <c r="Z278" s="171">
        <f t="shared" si="100"/>
        <v>343159.04999999987</v>
      </c>
      <c r="AA278" s="48">
        <v>365405.84</v>
      </c>
      <c r="AB278" s="238">
        <f t="shared" si="104"/>
        <v>0</v>
      </c>
      <c r="AC278" s="238">
        <v>328647.15000000002</v>
      </c>
      <c r="AD278" s="171">
        <f t="shared" si="101"/>
        <v>328647.15000000002</v>
      </c>
      <c r="AE278" s="238"/>
      <c r="AF278" s="238">
        <f t="shared" si="105"/>
        <v>0</v>
      </c>
      <c r="AG278" s="196">
        <v>271</v>
      </c>
      <c r="AH278" s="73" t="s">
        <v>505</v>
      </c>
      <c r="AI278" s="139" t="s">
        <v>506</v>
      </c>
      <c r="AJ278" s="238">
        <f t="shared" si="106"/>
        <v>0</v>
      </c>
      <c r="AK278" s="238"/>
      <c r="AL278" s="358" t="s">
        <v>505</v>
      </c>
      <c r="AM278" s="48">
        <v>365405.84</v>
      </c>
      <c r="AN278" s="238" t="s">
        <v>505</v>
      </c>
      <c r="AO278" s="238">
        <v>328647.15000000002</v>
      </c>
      <c r="AQ278" s="472">
        <f t="shared" si="107"/>
        <v>0</v>
      </c>
      <c r="AS278" t="s">
        <v>505</v>
      </c>
      <c r="AT278" t="s">
        <v>1835</v>
      </c>
      <c r="AU278" s="48">
        <v>239209.25</v>
      </c>
      <c r="AV278" s="48">
        <v>21407.87</v>
      </c>
      <c r="AW278" s="48">
        <v>3126.2</v>
      </c>
      <c r="AX278" s="48">
        <v>0</v>
      </c>
      <c r="AY278" s="48">
        <v>46517.58</v>
      </c>
      <c r="AZ278" s="48">
        <v>8842.59</v>
      </c>
      <c r="BA278" s="48">
        <v>89.88</v>
      </c>
      <c r="BB278" s="48">
        <v>3175.23</v>
      </c>
      <c r="BC278" s="48">
        <v>1392.33</v>
      </c>
      <c r="BD278" s="48">
        <v>4886.22</v>
      </c>
      <c r="BE278" s="48"/>
      <c r="BF278" s="48">
        <f t="shared" si="102"/>
        <v>328647.15000000002</v>
      </c>
      <c r="BG278" s="48"/>
      <c r="BH278" s="48"/>
      <c r="BI278" s="48" t="str">
        <f t="shared" si="108"/>
        <v>27001</v>
      </c>
      <c r="BJ278" s="48">
        <f t="shared" si="109"/>
        <v>328647.15000000002</v>
      </c>
      <c r="BK278" s="628">
        <f t="shared" si="110"/>
        <v>0</v>
      </c>
    </row>
    <row r="279" spans="1:63">
      <c r="A279" s="196">
        <v>272</v>
      </c>
      <c r="B279" s="73" t="s">
        <v>699</v>
      </c>
      <c r="C279" s="139" t="s">
        <v>700</v>
      </c>
      <c r="D279" s="168">
        <v>0</v>
      </c>
      <c r="E279" s="170">
        <v>3785.87</v>
      </c>
      <c r="F279" s="171">
        <f t="shared" si="95"/>
        <v>3785.87</v>
      </c>
      <c r="G279" s="181">
        <v>0.01</v>
      </c>
      <c r="H279" s="178">
        <v>3785.8599999999997</v>
      </c>
      <c r="I279" s="170">
        <v>5592.59</v>
      </c>
      <c r="J279" s="171">
        <f t="shared" si="96"/>
        <v>9378.4500000000007</v>
      </c>
      <c r="K279" s="202"/>
      <c r="L279" s="171">
        <v>9378.4500000000007</v>
      </c>
      <c r="M279" s="197">
        <v>5686.3200000000006</v>
      </c>
      <c r="N279" s="171">
        <f t="shared" si="97"/>
        <v>15064.77</v>
      </c>
      <c r="O279" s="202">
        <v>4987.2</v>
      </c>
      <c r="P279" s="238">
        <v>10077.57</v>
      </c>
      <c r="Q279" s="197">
        <v>5856.4000000000005</v>
      </c>
      <c r="R279" s="171">
        <f t="shared" si="98"/>
        <v>15933.970000000001</v>
      </c>
      <c r="S279" s="202">
        <v>4680.9799999999996</v>
      </c>
      <c r="T279" s="238">
        <v>11252.990000000002</v>
      </c>
      <c r="U279" s="238">
        <v>6115.29</v>
      </c>
      <c r="V279" s="171">
        <f t="shared" si="99"/>
        <v>17368.280000000002</v>
      </c>
      <c r="W279" s="56">
        <v>7406.3200000000006</v>
      </c>
      <c r="X279" s="568">
        <f t="shared" si="103"/>
        <v>9961.9600000000028</v>
      </c>
      <c r="Y279" s="569">
        <v>7174.84</v>
      </c>
      <c r="Z279" s="171">
        <f t="shared" si="100"/>
        <v>17136.800000000003</v>
      </c>
      <c r="AA279" s="48">
        <v>7028.3700000000008</v>
      </c>
      <c r="AB279" s="238">
        <f t="shared" si="104"/>
        <v>10108.430000000002</v>
      </c>
      <c r="AC279" s="238">
        <v>7114.86</v>
      </c>
      <c r="AD279" s="171">
        <f t="shared" si="101"/>
        <v>17223.29</v>
      </c>
      <c r="AE279" s="238"/>
      <c r="AF279" s="238">
        <f t="shared" si="105"/>
        <v>0</v>
      </c>
      <c r="AG279" s="196">
        <v>272</v>
      </c>
      <c r="AH279" s="73" t="s">
        <v>699</v>
      </c>
      <c r="AI279" s="139" t="s">
        <v>700</v>
      </c>
      <c r="AJ279" s="238">
        <f t="shared" si="106"/>
        <v>0</v>
      </c>
      <c r="AK279" s="238"/>
      <c r="AL279" s="358" t="s">
        <v>699</v>
      </c>
      <c r="AM279" s="48">
        <v>7028.3700000000008</v>
      </c>
      <c r="AN279" s="238" t="s">
        <v>699</v>
      </c>
      <c r="AO279" s="238">
        <v>7114.86</v>
      </c>
      <c r="AQ279" s="472">
        <f t="shared" si="107"/>
        <v>0</v>
      </c>
      <c r="AS279" t="s">
        <v>699</v>
      </c>
      <c r="AT279" t="s">
        <v>1936</v>
      </c>
      <c r="AU279" s="48">
        <v>5900.34</v>
      </c>
      <c r="AV279" s="48">
        <v>0</v>
      </c>
      <c r="AW279" s="48">
        <v>0</v>
      </c>
      <c r="AX279" s="48">
        <v>0</v>
      </c>
      <c r="AY279" s="48">
        <v>1001.28</v>
      </c>
      <c r="AZ279" s="48">
        <v>0</v>
      </c>
      <c r="BA279" s="48">
        <v>0</v>
      </c>
      <c r="BB279" s="48">
        <v>0</v>
      </c>
      <c r="BC279" s="48">
        <v>0</v>
      </c>
      <c r="BD279" s="48">
        <v>213.24</v>
      </c>
      <c r="BE279" s="48"/>
      <c r="BF279" s="48">
        <f t="shared" si="102"/>
        <v>7114.86</v>
      </c>
      <c r="BG279" s="48"/>
      <c r="BH279" s="48"/>
      <c r="BI279" s="48" t="str">
        <f t="shared" si="108"/>
        <v>38304</v>
      </c>
      <c r="BJ279" s="48">
        <f t="shared" si="109"/>
        <v>7114.86</v>
      </c>
      <c r="BK279" s="628">
        <f t="shared" si="110"/>
        <v>0</v>
      </c>
    </row>
    <row r="280" spans="1:63">
      <c r="A280" s="196">
        <v>273</v>
      </c>
      <c r="B280" s="73" t="s">
        <v>562</v>
      </c>
      <c r="C280" s="139" t="s">
        <v>563</v>
      </c>
      <c r="D280" s="168">
        <v>24179.019999999997</v>
      </c>
      <c r="E280" s="170">
        <v>49493.319999999992</v>
      </c>
      <c r="F280" s="171">
        <f t="shared" si="95"/>
        <v>73672.34</v>
      </c>
      <c r="G280" s="181">
        <v>4719.63</v>
      </c>
      <c r="H280" s="178">
        <v>68952.709999999992</v>
      </c>
      <c r="I280" s="170">
        <v>67787.489999999991</v>
      </c>
      <c r="J280" s="171">
        <f t="shared" si="96"/>
        <v>136740.19999999998</v>
      </c>
      <c r="K280" s="202">
        <v>9498.2099999999991</v>
      </c>
      <c r="L280" s="171">
        <v>127241.98999999999</v>
      </c>
      <c r="M280" s="197">
        <v>67283.25</v>
      </c>
      <c r="N280" s="171">
        <f t="shared" si="97"/>
        <v>194525.24</v>
      </c>
      <c r="O280" s="202">
        <v>14694.67</v>
      </c>
      <c r="P280" s="238">
        <v>179830.56999999998</v>
      </c>
      <c r="Q280" s="197">
        <v>75277.670000000013</v>
      </c>
      <c r="R280" s="171">
        <f t="shared" si="98"/>
        <v>255108.24</v>
      </c>
      <c r="S280" s="202">
        <v>74493.179999999993</v>
      </c>
      <c r="T280" s="238">
        <v>180615.06</v>
      </c>
      <c r="U280" s="238">
        <v>69922.62</v>
      </c>
      <c r="V280" s="171">
        <f t="shared" si="99"/>
        <v>250537.68</v>
      </c>
      <c r="W280" s="56">
        <v>88553.050000000032</v>
      </c>
      <c r="X280" s="568">
        <f t="shared" si="103"/>
        <v>161984.62999999995</v>
      </c>
      <c r="Y280" s="569">
        <v>71237.399999999994</v>
      </c>
      <c r="Z280" s="171">
        <f t="shared" si="100"/>
        <v>233222.02999999994</v>
      </c>
      <c r="AA280" s="48">
        <v>88648.74</v>
      </c>
      <c r="AB280" s="238">
        <f t="shared" si="104"/>
        <v>144573.28999999992</v>
      </c>
      <c r="AC280" s="238">
        <v>64843.360000000008</v>
      </c>
      <c r="AD280" s="171">
        <f t="shared" si="101"/>
        <v>209416.64999999994</v>
      </c>
      <c r="AE280" s="238"/>
      <c r="AF280" s="238">
        <f t="shared" si="105"/>
        <v>0</v>
      </c>
      <c r="AG280" s="196">
        <v>273</v>
      </c>
      <c r="AH280" s="73" t="s">
        <v>562</v>
      </c>
      <c r="AI280" s="139" t="s">
        <v>563</v>
      </c>
      <c r="AJ280" s="238">
        <f t="shared" si="106"/>
        <v>0</v>
      </c>
      <c r="AK280" s="238"/>
      <c r="AL280" s="358" t="s">
        <v>562</v>
      </c>
      <c r="AM280" s="48">
        <v>88648.74</v>
      </c>
      <c r="AN280" s="238" t="s">
        <v>562</v>
      </c>
      <c r="AO280" s="238">
        <v>64843.360000000008</v>
      </c>
      <c r="AQ280" s="472">
        <f t="shared" si="107"/>
        <v>0</v>
      </c>
      <c r="AS280" t="s">
        <v>562</v>
      </c>
      <c r="AT280" t="s">
        <v>1863</v>
      </c>
      <c r="AU280" s="48">
        <v>50206.59</v>
      </c>
      <c r="AV280" s="48">
        <v>4361.43</v>
      </c>
      <c r="AW280" s="48">
        <v>834.05</v>
      </c>
      <c r="AX280" s="48">
        <v>0</v>
      </c>
      <c r="AY280" s="48">
        <v>0</v>
      </c>
      <c r="AZ280" s="48">
        <v>3752.47</v>
      </c>
      <c r="BA280" s="48">
        <v>3314.62</v>
      </c>
      <c r="BB280" s="48">
        <v>360.76</v>
      </c>
      <c r="BC280" s="48">
        <v>288.29000000000002</v>
      </c>
      <c r="BD280" s="48">
        <v>1725.15</v>
      </c>
      <c r="BE280" s="48"/>
      <c r="BF280" s="48">
        <f t="shared" si="102"/>
        <v>64843.360000000008</v>
      </c>
      <c r="BG280" s="48"/>
      <c r="BH280" s="48"/>
      <c r="BI280" s="48" t="str">
        <f t="shared" si="108"/>
        <v>30303</v>
      </c>
      <c r="BJ280" s="48">
        <f t="shared" si="109"/>
        <v>64843.360000000008</v>
      </c>
      <c r="BK280" s="628">
        <f t="shared" si="110"/>
        <v>0</v>
      </c>
    </row>
    <row r="281" spans="1:63">
      <c r="A281" s="196">
        <v>274</v>
      </c>
      <c r="B281" s="73" t="s">
        <v>584</v>
      </c>
      <c r="C281" s="139" t="s">
        <v>585</v>
      </c>
      <c r="D281" s="168">
        <v>7218.1300000000047</v>
      </c>
      <c r="E281" s="170">
        <v>150885.29999999999</v>
      </c>
      <c r="F281" s="171">
        <f t="shared" ref="F281:F312" si="111">+D281+E281</f>
        <v>158103.43</v>
      </c>
      <c r="G281" s="181">
        <v>131180.04</v>
      </c>
      <c r="H281" s="178">
        <v>26923.389999999985</v>
      </c>
      <c r="I281" s="170">
        <v>199013.01</v>
      </c>
      <c r="J281" s="171">
        <f t="shared" ref="J281:J312" si="112">+H281+I281</f>
        <v>225936.4</v>
      </c>
      <c r="K281" s="202">
        <v>197019.03</v>
      </c>
      <c r="L281" s="171">
        <v>28917.369999999995</v>
      </c>
      <c r="M281" s="197">
        <v>216398.22999999998</v>
      </c>
      <c r="N281" s="171">
        <f t="shared" ref="N281:N312" si="113">+L281+M281</f>
        <v>245315.59999999998</v>
      </c>
      <c r="O281" s="202">
        <v>207020.65</v>
      </c>
      <c r="P281" s="238">
        <v>38294.949999999983</v>
      </c>
      <c r="Q281" s="197">
        <v>256532.2</v>
      </c>
      <c r="R281" s="171">
        <f t="shared" ref="R281:R312" si="114">+P281+Q281</f>
        <v>294827.15000000002</v>
      </c>
      <c r="S281" s="202">
        <v>222751.58000000005</v>
      </c>
      <c r="T281" s="238">
        <v>72075.569999999978</v>
      </c>
      <c r="U281" s="238">
        <v>261883.31</v>
      </c>
      <c r="V281" s="171">
        <f t="shared" ref="V281:V312" si="115">+T281+U281</f>
        <v>333958.88</v>
      </c>
      <c r="W281" s="56">
        <v>248132.65999999992</v>
      </c>
      <c r="X281" s="568">
        <f t="shared" si="103"/>
        <v>85826.220000000088</v>
      </c>
      <c r="Y281" s="569">
        <v>294323.07999999996</v>
      </c>
      <c r="Z281" s="171">
        <f t="shared" ref="Z281:Z312" si="116">+X281+Y281</f>
        <v>380149.30000000005</v>
      </c>
      <c r="AA281" s="48">
        <v>255376.40999999997</v>
      </c>
      <c r="AB281" s="238">
        <f t="shared" si="104"/>
        <v>124772.89000000007</v>
      </c>
      <c r="AC281" s="238">
        <v>285236.8</v>
      </c>
      <c r="AD281" s="171">
        <f t="shared" ref="AD281:AD312" si="117">+AB281+AC281</f>
        <v>410009.69000000006</v>
      </c>
      <c r="AE281" s="238"/>
      <c r="AF281" s="238">
        <f t="shared" si="105"/>
        <v>0</v>
      </c>
      <c r="AG281" s="196">
        <v>274</v>
      </c>
      <c r="AH281" s="73" t="s">
        <v>584</v>
      </c>
      <c r="AI281" s="139" t="s">
        <v>585</v>
      </c>
      <c r="AJ281" s="238">
        <f t="shared" si="106"/>
        <v>0</v>
      </c>
      <c r="AK281" s="238"/>
      <c r="AL281" s="358" t="s">
        <v>584</v>
      </c>
      <c r="AM281" s="48">
        <v>255376.40999999997</v>
      </c>
      <c r="AN281" s="238" t="s">
        <v>584</v>
      </c>
      <c r="AO281" s="238">
        <v>285236.8</v>
      </c>
      <c r="AQ281" s="472">
        <f t="shared" si="107"/>
        <v>0</v>
      </c>
      <c r="AS281" t="s">
        <v>584</v>
      </c>
      <c r="AT281" t="s">
        <v>1874</v>
      </c>
      <c r="AU281" s="48">
        <v>189627.02</v>
      </c>
      <c r="AV281" s="48">
        <v>15361.25</v>
      </c>
      <c r="AW281" s="48">
        <v>1151.55</v>
      </c>
      <c r="AX281" s="48">
        <v>0</v>
      </c>
      <c r="AY281" s="48">
        <v>37019.089999999997</v>
      </c>
      <c r="AZ281" s="48">
        <v>14013.23</v>
      </c>
      <c r="BA281" s="48">
        <v>11071.6</v>
      </c>
      <c r="BB281" s="48">
        <v>8673.9</v>
      </c>
      <c r="BC281" s="48">
        <v>1071.5</v>
      </c>
      <c r="BD281" s="48">
        <v>7247.66</v>
      </c>
      <c r="BE281" s="48"/>
      <c r="BF281" s="48">
        <f t="shared" si="102"/>
        <v>285236.8</v>
      </c>
      <c r="BG281" s="48"/>
      <c r="BH281" s="48"/>
      <c r="BI281" s="48" t="str">
        <f t="shared" si="108"/>
        <v>31311</v>
      </c>
      <c r="BJ281" s="48">
        <f t="shared" si="109"/>
        <v>285236.8</v>
      </c>
      <c r="BK281" s="628">
        <f t="shared" si="110"/>
        <v>0</v>
      </c>
    </row>
    <row r="282" spans="1:63">
      <c r="A282" s="196">
        <v>275</v>
      </c>
      <c r="B282" s="73" t="s">
        <v>1476</v>
      </c>
      <c r="C282" s="191" t="s">
        <v>1546</v>
      </c>
      <c r="D282" s="168">
        <v>12389.9</v>
      </c>
      <c r="E282" s="170">
        <v>31218.53</v>
      </c>
      <c r="F282" s="171">
        <f t="shared" si="111"/>
        <v>43608.43</v>
      </c>
      <c r="G282" s="181"/>
      <c r="H282" s="179">
        <v>43608.43</v>
      </c>
      <c r="I282" s="170">
        <v>48647.05</v>
      </c>
      <c r="J282" s="171">
        <f t="shared" si="112"/>
        <v>92255.48000000001</v>
      </c>
      <c r="K282" s="202">
        <v>39061.42</v>
      </c>
      <c r="L282" s="171">
        <v>53194.060000000012</v>
      </c>
      <c r="M282" s="197">
        <v>48478.1</v>
      </c>
      <c r="N282" s="171">
        <f t="shared" si="113"/>
        <v>101672.16</v>
      </c>
      <c r="O282" s="202">
        <v>46044.76</v>
      </c>
      <c r="P282" s="238">
        <v>55627.4</v>
      </c>
      <c r="Q282" s="197">
        <v>46259.96</v>
      </c>
      <c r="R282" s="171">
        <f t="shared" si="114"/>
        <v>101887.36</v>
      </c>
      <c r="S282" s="202">
        <v>37246.97</v>
      </c>
      <c r="T282" s="238">
        <v>64640.39</v>
      </c>
      <c r="U282" s="238">
        <v>53621.120000000003</v>
      </c>
      <c r="V282" s="171">
        <f t="shared" si="115"/>
        <v>118261.51000000001</v>
      </c>
      <c r="W282" s="56">
        <v>41249</v>
      </c>
      <c r="X282" s="568">
        <f t="shared" si="103"/>
        <v>77012.510000000009</v>
      </c>
      <c r="Y282" s="569">
        <v>62936.570000000007</v>
      </c>
      <c r="Z282" s="171">
        <f t="shared" si="116"/>
        <v>139949.08000000002</v>
      </c>
      <c r="AA282" s="48">
        <v>118665.80000000002</v>
      </c>
      <c r="AB282" s="238">
        <f t="shared" si="104"/>
        <v>21283.279999999999</v>
      </c>
      <c r="AC282" s="238">
        <v>71537.45</v>
      </c>
      <c r="AD282" s="171">
        <f t="shared" si="117"/>
        <v>92820.73</v>
      </c>
      <c r="AE282" s="238"/>
      <c r="AF282" s="238">
        <f t="shared" si="105"/>
        <v>0</v>
      </c>
      <c r="AG282" s="196">
        <v>276</v>
      </c>
      <c r="AH282" s="73" t="s">
        <v>1476</v>
      </c>
      <c r="AI282" s="191" t="s">
        <v>1546</v>
      </c>
      <c r="AJ282" s="238">
        <f t="shared" si="106"/>
        <v>0</v>
      </c>
      <c r="AK282" s="238"/>
      <c r="AL282" s="358" t="s">
        <v>1476</v>
      </c>
      <c r="AM282" s="48">
        <v>118665.80000000002</v>
      </c>
      <c r="AN282" s="238" t="s">
        <v>1476</v>
      </c>
      <c r="AO282" s="238">
        <v>71537.45</v>
      </c>
      <c r="AQ282" s="472">
        <f t="shared" si="107"/>
        <v>0</v>
      </c>
      <c r="AS282" t="s">
        <v>1476</v>
      </c>
      <c r="AT282" t="s">
        <v>1525</v>
      </c>
      <c r="AU282" s="48">
        <v>54066.35</v>
      </c>
      <c r="AV282" s="48">
        <v>0</v>
      </c>
      <c r="AW282" s="48">
        <v>0</v>
      </c>
      <c r="AX282" s="48">
        <v>0</v>
      </c>
      <c r="AY282" s="48">
        <v>10969.31</v>
      </c>
      <c r="AZ282" s="48">
        <v>2797.92</v>
      </c>
      <c r="BA282" s="48">
        <v>0</v>
      </c>
      <c r="BB282" s="48">
        <v>3381.87</v>
      </c>
      <c r="BC282" s="48">
        <v>322</v>
      </c>
      <c r="BD282" s="48">
        <v>0</v>
      </c>
      <c r="BE282" s="48"/>
      <c r="BF282" s="48">
        <f t="shared" si="102"/>
        <v>71537.45</v>
      </c>
      <c r="BG282" s="48"/>
      <c r="BH282" s="48"/>
      <c r="BI282" s="48" t="str">
        <f t="shared" si="108"/>
        <v>17905</v>
      </c>
      <c r="BJ282" s="48">
        <f t="shared" si="109"/>
        <v>71537.45</v>
      </c>
      <c r="BK282" s="628">
        <f t="shared" si="110"/>
        <v>0</v>
      </c>
    </row>
    <row r="283" spans="1:63">
      <c r="A283" s="196">
        <v>276</v>
      </c>
      <c r="B283" s="73" t="s">
        <v>1426</v>
      </c>
      <c r="C283" s="191" t="s">
        <v>1549</v>
      </c>
      <c r="D283" s="168">
        <v>7084.1899999999987</v>
      </c>
      <c r="E283" s="170">
        <v>14517.61</v>
      </c>
      <c r="F283" s="171">
        <f t="shared" si="111"/>
        <v>21601.8</v>
      </c>
      <c r="G283" s="181"/>
      <c r="H283" s="179">
        <v>21601.8</v>
      </c>
      <c r="I283" s="170">
        <v>22624.02</v>
      </c>
      <c r="J283" s="171">
        <f t="shared" si="112"/>
        <v>44225.82</v>
      </c>
      <c r="K283" s="202">
        <v>18219.29</v>
      </c>
      <c r="L283" s="171">
        <v>26006.53</v>
      </c>
      <c r="M283" s="197">
        <v>22077.360000000001</v>
      </c>
      <c r="N283" s="171">
        <f t="shared" si="113"/>
        <v>48083.89</v>
      </c>
      <c r="O283" s="202">
        <v>21048.25</v>
      </c>
      <c r="P283" s="238">
        <v>27035.64</v>
      </c>
      <c r="Q283" s="197">
        <v>20866.95</v>
      </c>
      <c r="R283" s="171">
        <f t="shared" si="114"/>
        <v>47902.59</v>
      </c>
      <c r="S283" s="202">
        <v>16868.7</v>
      </c>
      <c r="T283" s="238">
        <v>31033.889999999996</v>
      </c>
      <c r="U283" s="238">
        <v>22273.699999999997</v>
      </c>
      <c r="V283" s="171">
        <f t="shared" si="115"/>
        <v>53307.59</v>
      </c>
      <c r="W283" s="56">
        <v>18229.669999999998</v>
      </c>
      <c r="X283" s="568">
        <f t="shared" si="103"/>
        <v>35077.919999999998</v>
      </c>
      <c r="Y283" s="569">
        <v>20597.86</v>
      </c>
      <c r="Z283" s="171">
        <f t="shared" si="116"/>
        <v>55675.78</v>
      </c>
      <c r="AA283" s="48"/>
      <c r="AB283" s="238">
        <f t="shared" si="104"/>
        <v>55675.78</v>
      </c>
      <c r="AC283" s="238"/>
      <c r="AD283" s="171">
        <f t="shared" si="117"/>
        <v>55675.78</v>
      </c>
      <c r="AE283" s="238"/>
      <c r="AF283" s="238">
        <f t="shared" si="105"/>
        <v>0</v>
      </c>
      <c r="AG283" s="196">
        <v>277</v>
      </c>
      <c r="AH283" s="73" t="s">
        <v>1426</v>
      </c>
      <c r="AI283" s="191" t="s">
        <v>1549</v>
      </c>
      <c r="AJ283" s="238">
        <f t="shared" si="106"/>
        <v>0</v>
      </c>
      <c r="AK283" s="238"/>
      <c r="AL283" s="73" t="s">
        <v>1426</v>
      </c>
      <c r="AM283" s="48"/>
      <c r="AN283" s="238" t="s">
        <v>1426</v>
      </c>
      <c r="AO283" s="238"/>
      <c r="AQ283" s="472">
        <f t="shared" si="107"/>
        <v>0</v>
      </c>
      <c r="AS283" s="627" t="s">
        <v>1426</v>
      </c>
      <c r="AT283" s="525" t="s">
        <v>1966</v>
      </c>
      <c r="AU283" s="48"/>
      <c r="AV283" s="48"/>
      <c r="AW283" s="48"/>
      <c r="AX283" s="48"/>
      <c r="AY283" s="48"/>
      <c r="AZ283" s="48"/>
      <c r="BA283" s="48"/>
      <c r="BB283" s="48"/>
      <c r="BC283" s="48"/>
      <c r="BD283" s="48"/>
      <c r="BE283" s="48"/>
      <c r="BF283" s="48"/>
      <c r="BG283" s="48"/>
      <c r="BH283" s="48"/>
      <c r="BI283" s="73" t="s">
        <v>1426</v>
      </c>
      <c r="BJ283" s="48"/>
      <c r="BK283" s="628">
        <f t="shared" si="110"/>
        <v>0</v>
      </c>
    </row>
    <row r="284" spans="1:63">
      <c r="A284" s="196">
        <v>277</v>
      </c>
      <c r="B284" s="73" t="s">
        <v>1427</v>
      </c>
      <c r="C284" s="191" t="s">
        <v>1550</v>
      </c>
      <c r="D284" s="168">
        <v>11229.019999999999</v>
      </c>
      <c r="E284" s="170">
        <v>20889.72</v>
      </c>
      <c r="F284" s="171">
        <f t="shared" si="111"/>
        <v>32118.739999999998</v>
      </c>
      <c r="G284" s="181"/>
      <c r="H284" s="179">
        <v>32118.739999999998</v>
      </c>
      <c r="I284" s="170">
        <v>36273.120000000003</v>
      </c>
      <c r="J284" s="171">
        <f t="shared" si="112"/>
        <v>68391.86</v>
      </c>
      <c r="K284" s="202">
        <v>29163.63</v>
      </c>
      <c r="L284" s="171">
        <v>39228.229999999996</v>
      </c>
      <c r="M284" s="197">
        <v>30143.579999999998</v>
      </c>
      <c r="N284" s="171">
        <f t="shared" si="113"/>
        <v>69371.81</v>
      </c>
      <c r="O284" s="202">
        <v>25236.870000000003</v>
      </c>
      <c r="P284" s="238">
        <v>44134.939999999995</v>
      </c>
      <c r="Q284" s="197">
        <v>24868.440000000002</v>
      </c>
      <c r="R284" s="171">
        <f t="shared" si="114"/>
        <v>69003.38</v>
      </c>
      <c r="S284" s="202">
        <v>21592.309999999998</v>
      </c>
      <c r="T284" s="238">
        <v>47411.070000000007</v>
      </c>
      <c r="U284" s="238">
        <v>24836.61</v>
      </c>
      <c r="V284" s="171">
        <f t="shared" si="115"/>
        <v>72247.680000000008</v>
      </c>
      <c r="W284" s="56">
        <v>20176.759999999998</v>
      </c>
      <c r="X284" s="568">
        <f t="shared" si="103"/>
        <v>52070.920000000013</v>
      </c>
      <c r="Y284" s="569">
        <v>26687.289999999997</v>
      </c>
      <c r="Z284" s="171">
        <f t="shared" si="116"/>
        <v>78758.210000000006</v>
      </c>
      <c r="AA284" s="48">
        <v>56789.819999999992</v>
      </c>
      <c r="AB284" s="238">
        <f t="shared" si="104"/>
        <v>21968.390000000014</v>
      </c>
      <c r="AC284" s="238">
        <v>26543.07</v>
      </c>
      <c r="AD284" s="171">
        <f t="shared" si="117"/>
        <v>48511.460000000014</v>
      </c>
      <c r="AE284" s="238"/>
      <c r="AF284" s="238">
        <f t="shared" si="105"/>
        <v>0</v>
      </c>
      <c r="AG284" s="196">
        <v>278</v>
      </c>
      <c r="AH284" s="73" t="s">
        <v>1427</v>
      </c>
      <c r="AI284" s="191" t="s">
        <v>1550</v>
      </c>
      <c r="AJ284" s="238">
        <f t="shared" si="106"/>
        <v>0</v>
      </c>
      <c r="AK284" s="238"/>
      <c r="AL284" s="358" t="s">
        <v>1427</v>
      </c>
      <c r="AM284" s="48">
        <v>56789.819999999992</v>
      </c>
      <c r="AN284" s="238" t="s">
        <v>1427</v>
      </c>
      <c r="AO284" s="238">
        <v>26543.07</v>
      </c>
      <c r="AQ284" s="472">
        <f t="shared" si="107"/>
        <v>0</v>
      </c>
      <c r="AS284" t="s">
        <v>1427</v>
      </c>
      <c r="AT284" t="s">
        <v>1959</v>
      </c>
      <c r="AU284" s="48">
        <v>19792.8</v>
      </c>
      <c r="AV284" s="48">
        <v>0</v>
      </c>
      <c r="AW284" s="48">
        <v>0</v>
      </c>
      <c r="AX284" s="48">
        <v>0</v>
      </c>
      <c r="AY284" s="48">
        <v>4971.1099999999997</v>
      </c>
      <c r="AZ284" s="48">
        <v>967.81</v>
      </c>
      <c r="BA284" s="48">
        <v>0</v>
      </c>
      <c r="BB284" s="48">
        <v>727.67</v>
      </c>
      <c r="BC284" s="48">
        <v>83.68</v>
      </c>
      <c r="BD284" s="48">
        <v>0</v>
      </c>
      <c r="BE284" s="48"/>
      <c r="BF284" s="48">
        <f t="shared" ref="BF284:BF315" si="118">SUM(AU284:BE284)</f>
        <v>26543.07</v>
      </c>
      <c r="BG284" s="48"/>
      <c r="BH284" s="48"/>
      <c r="BI284" s="48" t="str">
        <f t="shared" ref="BI284:BI315" si="119">TEXT(AS284, "00000")</f>
        <v>17902</v>
      </c>
      <c r="BJ284" s="48">
        <f t="shared" ref="BJ284:BJ315" si="120">BF284</f>
        <v>26543.07</v>
      </c>
      <c r="BK284" s="628">
        <f t="shared" si="110"/>
        <v>0</v>
      </c>
    </row>
    <row r="285" spans="1:63">
      <c r="A285" s="196">
        <v>278</v>
      </c>
      <c r="B285" s="73" t="s">
        <v>630</v>
      </c>
      <c r="C285" s="634" t="s">
        <v>631</v>
      </c>
      <c r="D285" s="168">
        <v>101.68000000000029</v>
      </c>
      <c r="E285" s="170">
        <v>4909.88</v>
      </c>
      <c r="F285" s="171">
        <f t="shared" si="111"/>
        <v>5011.5600000000004</v>
      </c>
      <c r="G285" s="181">
        <v>4561.25</v>
      </c>
      <c r="H285" s="178">
        <v>450.3100000000004</v>
      </c>
      <c r="I285" s="170">
        <v>7295.2</v>
      </c>
      <c r="J285" s="171">
        <f t="shared" si="112"/>
        <v>7745.51</v>
      </c>
      <c r="K285" s="202">
        <v>7664.35</v>
      </c>
      <c r="L285" s="171">
        <v>81.159999999999854</v>
      </c>
      <c r="M285" s="197">
        <v>8184.16</v>
      </c>
      <c r="N285" s="171">
        <f t="shared" si="113"/>
        <v>8265.32</v>
      </c>
      <c r="O285" s="202">
        <v>9003.36</v>
      </c>
      <c r="P285" s="238">
        <v>0</v>
      </c>
      <c r="Q285" s="197">
        <v>9771.33</v>
      </c>
      <c r="R285" s="171">
        <f t="shared" si="114"/>
        <v>9771.33</v>
      </c>
      <c r="S285" s="202">
        <v>10655.13</v>
      </c>
      <c r="T285" s="238">
        <v>0</v>
      </c>
      <c r="U285" s="238">
        <v>10900.23</v>
      </c>
      <c r="V285" s="171">
        <f t="shared" si="115"/>
        <v>10900.23</v>
      </c>
      <c r="W285" s="56">
        <v>12403.06</v>
      </c>
      <c r="X285" s="568">
        <f t="shared" si="103"/>
        <v>0</v>
      </c>
      <c r="Y285" s="569">
        <v>12519.64</v>
      </c>
      <c r="Z285" s="171">
        <f t="shared" si="116"/>
        <v>12519.64</v>
      </c>
      <c r="AA285" s="48">
        <v>9952.1299999999992</v>
      </c>
      <c r="AB285" s="238">
        <f t="shared" si="104"/>
        <v>2567.5100000000002</v>
      </c>
      <c r="AC285" s="238">
        <v>12135.01</v>
      </c>
      <c r="AD285" s="171">
        <f t="shared" si="117"/>
        <v>14702.52</v>
      </c>
      <c r="AE285" s="238"/>
      <c r="AF285" s="238">
        <f t="shared" si="105"/>
        <v>0</v>
      </c>
      <c r="AG285" s="196">
        <v>275</v>
      </c>
      <c r="AH285" s="73" t="s">
        <v>630</v>
      </c>
      <c r="AI285" s="634" t="s">
        <v>631</v>
      </c>
      <c r="AJ285" s="238">
        <f t="shared" si="106"/>
        <v>0</v>
      </c>
      <c r="AK285" s="238"/>
      <c r="AL285" s="358" t="s">
        <v>630</v>
      </c>
      <c r="AM285" s="48">
        <v>9952.1299999999992</v>
      </c>
      <c r="AN285" s="238" t="s">
        <v>630</v>
      </c>
      <c r="AO285" s="238">
        <v>12135.01</v>
      </c>
      <c r="AQ285" s="472">
        <f t="shared" si="107"/>
        <v>0</v>
      </c>
      <c r="AS285" t="s">
        <v>630</v>
      </c>
      <c r="AT285" t="s">
        <v>1898</v>
      </c>
      <c r="AU285" s="48">
        <v>9256.2900000000009</v>
      </c>
      <c r="AV285" s="48">
        <v>0</v>
      </c>
      <c r="AW285" s="48">
        <v>0</v>
      </c>
      <c r="AX285" s="48">
        <v>0</v>
      </c>
      <c r="AY285" s="48">
        <v>1580.61</v>
      </c>
      <c r="AZ285" s="48">
        <v>824.81</v>
      </c>
      <c r="BA285" s="48">
        <v>433.21</v>
      </c>
      <c r="BB285" s="48">
        <v>0</v>
      </c>
      <c r="BC285" s="48">
        <v>40.090000000000003</v>
      </c>
      <c r="BD285" s="48">
        <v>0</v>
      </c>
      <c r="BE285" s="48"/>
      <c r="BF285" s="48">
        <f t="shared" si="118"/>
        <v>12135.01</v>
      </c>
      <c r="BG285" s="48"/>
      <c r="BH285" s="48"/>
      <c r="BI285" s="48" t="str">
        <f t="shared" si="119"/>
        <v>33202</v>
      </c>
      <c r="BJ285" s="48">
        <f t="shared" si="120"/>
        <v>12135.01</v>
      </c>
      <c r="BK285" s="628">
        <f t="shared" si="110"/>
        <v>0</v>
      </c>
    </row>
    <row r="286" spans="1:63">
      <c r="A286" s="196">
        <v>279</v>
      </c>
      <c r="B286" s="73" t="s">
        <v>515</v>
      </c>
      <c r="C286" s="139" t="s">
        <v>1512</v>
      </c>
      <c r="D286" s="168">
        <v>0</v>
      </c>
      <c r="E286" s="170">
        <v>656292.27000000014</v>
      </c>
      <c r="F286" s="171">
        <f t="shared" si="111"/>
        <v>656292.27000000014</v>
      </c>
      <c r="G286" s="181">
        <v>656292.27</v>
      </c>
      <c r="H286" s="178">
        <v>1.1641532182693481E-10</v>
      </c>
      <c r="I286" s="170">
        <v>936195.5199999999</v>
      </c>
      <c r="J286" s="171">
        <f t="shared" si="112"/>
        <v>936195.52</v>
      </c>
      <c r="K286" s="202">
        <v>1278829.6099999999</v>
      </c>
      <c r="L286" s="171">
        <v>0</v>
      </c>
      <c r="M286" s="197">
        <v>975914.63000000012</v>
      </c>
      <c r="N286" s="171">
        <f t="shared" si="113"/>
        <v>975914.63000000012</v>
      </c>
      <c r="O286" s="202">
        <v>1321066.6399999999</v>
      </c>
      <c r="P286" s="238">
        <v>0</v>
      </c>
      <c r="Q286" s="197">
        <v>1086196.46</v>
      </c>
      <c r="R286" s="171">
        <f t="shared" si="114"/>
        <v>1086196.46</v>
      </c>
      <c r="S286" s="202">
        <v>1449386.3199999998</v>
      </c>
      <c r="T286" s="238">
        <v>0</v>
      </c>
      <c r="U286" s="238">
        <v>1126296.78</v>
      </c>
      <c r="V286" s="171">
        <f t="shared" si="115"/>
        <v>1126296.78</v>
      </c>
      <c r="W286" s="56">
        <v>1499073.5199999996</v>
      </c>
      <c r="X286" s="568">
        <f t="shared" si="103"/>
        <v>0</v>
      </c>
      <c r="Y286" s="569">
        <v>1210976.7999999998</v>
      </c>
      <c r="Z286" s="171">
        <f t="shared" si="116"/>
        <v>1210976.7999999998</v>
      </c>
      <c r="AA286" s="48">
        <v>956024.79000000039</v>
      </c>
      <c r="AB286" s="238">
        <f t="shared" si="104"/>
        <v>254952.00999999943</v>
      </c>
      <c r="AC286" s="238">
        <v>1190171.57</v>
      </c>
      <c r="AD286" s="171">
        <f t="shared" si="117"/>
        <v>1445123.5799999996</v>
      </c>
      <c r="AE286" s="238"/>
      <c r="AF286" s="238">
        <f t="shared" si="105"/>
        <v>0</v>
      </c>
      <c r="AG286" s="196">
        <v>279</v>
      </c>
      <c r="AH286" s="73" t="s">
        <v>515</v>
      </c>
      <c r="AI286" s="139" t="s">
        <v>1512</v>
      </c>
      <c r="AJ286" s="238">
        <f t="shared" si="106"/>
        <v>0</v>
      </c>
      <c r="AK286" s="238"/>
      <c r="AL286" s="358" t="s">
        <v>515</v>
      </c>
      <c r="AM286" s="48">
        <v>956024.79000000039</v>
      </c>
      <c r="AN286" s="238" t="s">
        <v>515</v>
      </c>
      <c r="AO286" s="238">
        <v>1190171.57</v>
      </c>
      <c r="AQ286" s="472">
        <f t="shared" si="107"/>
        <v>0</v>
      </c>
      <c r="AS286" t="s">
        <v>515</v>
      </c>
      <c r="AT286" t="s">
        <v>2396</v>
      </c>
      <c r="AU286" s="48">
        <v>907769.18</v>
      </c>
      <c r="AV286" s="48">
        <v>56920.33</v>
      </c>
      <c r="AW286" s="48">
        <v>10605.33</v>
      </c>
      <c r="AX286" s="48">
        <v>0</v>
      </c>
      <c r="AY286" s="48">
        <v>150156.95000000001</v>
      </c>
      <c r="AZ286" s="48">
        <v>38166.75</v>
      </c>
      <c r="BA286" s="48">
        <v>2189.44</v>
      </c>
      <c r="BB286" s="48">
        <v>19157.62</v>
      </c>
      <c r="BC286" s="48">
        <v>5205.97</v>
      </c>
      <c r="BD286" s="48">
        <v>0</v>
      </c>
      <c r="BE286" s="48"/>
      <c r="BF286" s="48">
        <f t="shared" si="118"/>
        <v>1190171.57</v>
      </c>
      <c r="BG286" s="48"/>
      <c r="BH286" s="48"/>
      <c r="BI286" s="48" t="str">
        <f t="shared" si="119"/>
        <v>27320</v>
      </c>
      <c r="BJ286" s="48">
        <f t="shared" si="120"/>
        <v>1190171.57</v>
      </c>
      <c r="BK286" s="628">
        <f t="shared" si="110"/>
        <v>0</v>
      </c>
    </row>
    <row r="287" spans="1:63">
      <c r="A287" s="196">
        <v>280</v>
      </c>
      <c r="B287" s="73" t="s">
        <v>724</v>
      </c>
      <c r="C287" s="139" t="s">
        <v>725</v>
      </c>
      <c r="D287" s="168">
        <v>15491.98000000004</v>
      </c>
      <c r="E287" s="170">
        <v>459427.4</v>
      </c>
      <c r="F287" s="171">
        <f t="shared" si="111"/>
        <v>474919.38000000006</v>
      </c>
      <c r="G287" s="181">
        <v>416081.97</v>
      </c>
      <c r="H287" s="178">
        <v>58837.410000000091</v>
      </c>
      <c r="I287" s="170">
        <v>673822.48</v>
      </c>
      <c r="J287" s="171">
        <f t="shared" si="112"/>
        <v>732659.89000000013</v>
      </c>
      <c r="K287" s="202">
        <v>642145.70000000019</v>
      </c>
      <c r="L287" s="171">
        <v>90514.189999999944</v>
      </c>
      <c r="M287" s="197">
        <v>681158.07000000007</v>
      </c>
      <c r="N287" s="171">
        <f t="shared" si="113"/>
        <v>771672.26</v>
      </c>
      <c r="O287" s="202">
        <v>654449.36</v>
      </c>
      <c r="P287" s="238">
        <v>117222.90000000002</v>
      </c>
      <c r="Q287" s="197">
        <v>716430.34000000008</v>
      </c>
      <c r="R287" s="171">
        <f t="shared" si="114"/>
        <v>833653.24000000011</v>
      </c>
      <c r="S287" s="202">
        <v>680859.62999999989</v>
      </c>
      <c r="T287" s="238">
        <v>152793.61000000022</v>
      </c>
      <c r="U287" s="238">
        <v>706641</v>
      </c>
      <c r="V287" s="171">
        <f t="shared" si="115"/>
        <v>859434.61000000022</v>
      </c>
      <c r="W287" s="56">
        <v>686623.54999999981</v>
      </c>
      <c r="X287" s="568">
        <f t="shared" si="103"/>
        <v>172811.06000000041</v>
      </c>
      <c r="Y287" s="569">
        <v>718871.08000000007</v>
      </c>
      <c r="Z287" s="171">
        <f t="shared" si="116"/>
        <v>891682.14000000048</v>
      </c>
      <c r="AA287" s="48">
        <v>686261.3600000001</v>
      </c>
      <c r="AB287" s="238">
        <f t="shared" si="104"/>
        <v>205420.78000000038</v>
      </c>
      <c r="AC287" s="238">
        <v>704745.91</v>
      </c>
      <c r="AD287" s="171">
        <f t="shared" si="117"/>
        <v>910166.69000000041</v>
      </c>
      <c r="AE287" s="238"/>
      <c r="AF287" s="238">
        <f t="shared" si="105"/>
        <v>0</v>
      </c>
      <c r="AG287" s="196">
        <v>280</v>
      </c>
      <c r="AH287" s="73" t="s">
        <v>724</v>
      </c>
      <c r="AI287" s="139" t="s">
        <v>725</v>
      </c>
      <c r="AJ287" s="238">
        <f t="shared" si="106"/>
        <v>0</v>
      </c>
      <c r="AK287" s="238"/>
      <c r="AL287" s="358" t="s">
        <v>724</v>
      </c>
      <c r="AM287" s="48">
        <v>686261.3600000001</v>
      </c>
      <c r="AN287" s="238" t="s">
        <v>724</v>
      </c>
      <c r="AO287" s="238">
        <v>704745.91</v>
      </c>
      <c r="AQ287" s="472">
        <f t="shared" si="107"/>
        <v>0</v>
      </c>
      <c r="AS287" t="s">
        <v>724</v>
      </c>
      <c r="AT287" t="s">
        <v>1949</v>
      </c>
      <c r="AU287" s="48">
        <v>458039.92</v>
      </c>
      <c r="AV287" s="48">
        <v>30503.83</v>
      </c>
      <c r="AW287" s="48">
        <v>3382.46</v>
      </c>
      <c r="AX287" s="48">
        <v>0</v>
      </c>
      <c r="AY287" s="48">
        <v>77263.75</v>
      </c>
      <c r="AZ287" s="48">
        <v>55382.03</v>
      </c>
      <c r="BA287" s="48">
        <v>27050.45</v>
      </c>
      <c r="BB287" s="48">
        <v>46691.55</v>
      </c>
      <c r="BC287" s="48">
        <v>2546.87</v>
      </c>
      <c r="BD287" s="48">
        <v>3885.05</v>
      </c>
      <c r="BE287" s="48"/>
      <c r="BF287" s="48">
        <f t="shared" si="118"/>
        <v>704745.91</v>
      </c>
      <c r="BG287" s="48"/>
      <c r="BH287" s="48"/>
      <c r="BI287" s="48" t="str">
        <f t="shared" si="119"/>
        <v>39201</v>
      </c>
      <c r="BJ287" s="48">
        <f t="shared" si="120"/>
        <v>704745.91</v>
      </c>
      <c r="BK287" s="628">
        <f t="shared" si="110"/>
        <v>0</v>
      </c>
    </row>
    <row r="288" spans="1:63">
      <c r="A288" s="196">
        <v>281</v>
      </c>
      <c r="B288" s="73" t="s">
        <v>1177</v>
      </c>
      <c r="C288" t="s">
        <v>1189</v>
      </c>
      <c r="D288" s="168">
        <v>7231.19</v>
      </c>
      <c r="E288" s="170">
        <v>14907.71</v>
      </c>
      <c r="F288" s="171">
        <f t="shared" si="111"/>
        <v>22138.899999999998</v>
      </c>
      <c r="G288" s="181"/>
      <c r="H288" s="178">
        <v>22138.899999999998</v>
      </c>
      <c r="I288" s="170">
        <v>23019.649999999998</v>
      </c>
      <c r="J288" s="171">
        <f t="shared" si="112"/>
        <v>45158.549999999996</v>
      </c>
      <c r="K288" s="202"/>
      <c r="L288" s="171">
        <v>45158.549999999996</v>
      </c>
      <c r="M288" s="197">
        <v>23534.030000000002</v>
      </c>
      <c r="N288" s="171">
        <f t="shared" si="113"/>
        <v>68692.58</v>
      </c>
      <c r="O288" s="202"/>
      <c r="P288" s="238">
        <v>68692.58</v>
      </c>
      <c r="Q288" s="197">
        <v>24323.24</v>
      </c>
      <c r="R288" s="171">
        <f t="shared" si="114"/>
        <v>93015.82</v>
      </c>
      <c r="S288" s="202">
        <v>0</v>
      </c>
      <c r="T288" s="238">
        <v>93015.82</v>
      </c>
      <c r="U288" s="238">
        <v>24208.429999999997</v>
      </c>
      <c r="V288" s="171">
        <f t="shared" si="115"/>
        <v>117224.25</v>
      </c>
      <c r="W288" s="56"/>
      <c r="X288" s="568">
        <f t="shared" si="103"/>
        <v>117224.25</v>
      </c>
      <c r="Y288" s="569">
        <v>25406.5</v>
      </c>
      <c r="Z288" s="171">
        <f t="shared" si="116"/>
        <v>142630.75</v>
      </c>
      <c r="AA288" s="48"/>
      <c r="AB288" s="238">
        <f t="shared" si="104"/>
        <v>142630.75</v>
      </c>
      <c r="AC288" s="238">
        <v>27228.46</v>
      </c>
      <c r="AD288" s="171">
        <f t="shared" si="117"/>
        <v>169859.21</v>
      </c>
      <c r="AE288" s="238"/>
      <c r="AF288" s="238">
        <f t="shared" si="105"/>
        <v>0</v>
      </c>
      <c r="AG288" s="196">
        <v>281</v>
      </c>
      <c r="AH288" s="73" t="s">
        <v>1177</v>
      </c>
      <c r="AI288" t="s">
        <v>1189</v>
      </c>
      <c r="AJ288" s="238">
        <f t="shared" si="106"/>
        <v>0</v>
      </c>
      <c r="AK288" s="238"/>
      <c r="AL288" s="73" t="s">
        <v>1177</v>
      </c>
      <c r="AM288" s="48"/>
      <c r="AN288" s="238" t="s">
        <v>1177</v>
      </c>
      <c r="AO288" s="238">
        <v>27228.46</v>
      </c>
      <c r="AQ288" s="472">
        <f t="shared" si="107"/>
        <v>0</v>
      </c>
      <c r="AS288" t="s">
        <v>1177</v>
      </c>
      <c r="AT288" t="s">
        <v>1774</v>
      </c>
      <c r="AU288" s="48">
        <v>22865.42</v>
      </c>
      <c r="AV288" s="48">
        <v>809.54</v>
      </c>
      <c r="AW288" s="48">
        <v>125.52</v>
      </c>
      <c r="AX288" s="48">
        <v>0</v>
      </c>
      <c r="AY288" s="48">
        <v>2387.4</v>
      </c>
      <c r="AZ288" s="48">
        <v>594.87</v>
      </c>
      <c r="BA288" s="48">
        <v>403.87</v>
      </c>
      <c r="BB288" s="48">
        <v>0</v>
      </c>
      <c r="BC288" s="48">
        <v>41.84</v>
      </c>
      <c r="BD288" s="48">
        <v>0</v>
      </c>
      <c r="BE288" s="48"/>
      <c r="BF288" s="48">
        <f t="shared" si="118"/>
        <v>27228.46</v>
      </c>
      <c r="BG288" s="48"/>
      <c r="BH288" s="48"/>
      <c r="BI288" s="48" t="str">
        <f t="shared" si="119"/>
        <v>18902</v>
      </c>
      <c r="BJ288" s="48">
        <f t="shared" si="120"/>
        <v>27228.46</v>
      </c>
      <c r="BK288" s="628">
        <f t="shared" si="110"/>
        <v>0</v>
      </c>
    </row>
    <row r="289" spans="1:63">
      <c r="A289" s="196">
        <v>282</v>
      </c>
      <c r="B289" s="73" t="s">
        <v>509</v>
      </c>
      <c r="C289" s="139" t="s">
        <v>510</v>
      </c>
      <c r="D289" s="168">
        <v>0</v>
      </c>
      <c r="E289" s="170">
        <v>2095808.63</v>
      </c>
      <c r="F289" s="171">
        <f t="shared" si="111"/>
        <v>2095808.63</v>
      </c>
      <c r="G289" s="181">
        <v>2451014.5699999998</v>
      </c>
      <c r="H289" s="178">
        <v>0</v>
      </c>
      <c r="I289" s="170">
        <v>2938167.9000000004</v>
      </c>
      <c r="J289" s="171">
        <f t="shared" si="112"/>
        <v>2938167.9000000004</v>
      </c>
      <c r="K289" s="202">
        <v>3786284.9200000009</v>
      </c>
      <c r="L289" s="171">
        <v>0</v>
      </c>
      <c r="M289" s="197">
        <v>2834142.37</v>
      </c>
      <c r="N289" s="171">
        <f t="shared" si="113"/>
        <v>2834142.37</v>
      </c>
      <c r="O289" s="202">
        <v>4419614.3600000003</v>
      </c>
      <c r="P289" s="238">
        <v>0</v>
      </c>
      <c r="Q289" s="197">
        <v>3091582.64</v>
      </c>
      <c r="R289" s="171">
        <f t="shared" si="114"/>
        <v>3091582.64</v>
      </c>
      <c r="S289" s="202">
        <v>3621401.7899999996</v>
      </c>
      <c r="T289" s="238">
        <v>0</v>
      </c>
      <c r="U289" s="238">
        <v>3193139.0300000003</v>
      </c>
      <c r="V289" s="171">
        <f t="shared" si="115"/>
        <v>3193139.0300000003</v>
      </c>
      <c r="W289" s="56">
        <v>4092654.6699999915</v>
      </c>
      <c r="X289" s="568">
        <f t="shared" si="103"/>
        <v>0</v>
      </c>
      <c r="Y289" s="569">
        <v>3492856.21</v>
      </c>
      <c r="Z289" s="171">
        <f t="shared" si="116"/>
        <v>3492856.21</v>
      </c>
      <c r="AA289" s="48">
        <v>3942736.0699999989</v>
      </c>
      <c r="AB289" s="238">
        <f t="shared" si="104"/>
        <v>0</v>
      </c>
      <c r="AC289" s="238">
        <v>3345022.45</v>
      </c>
      <c r="AD289" s="171">
        <f t="shared" si="117"/>
        <v>3345022.45</v>
      </c>
      <c r="AE289" s="238"/>
      <c r="AF289" s="238">
        <f t="shared" si="105"/>
        <v>0</v>
      </c>
      <c r="AG289" s="196">
        <v>282</v>
      </c>
      <c r="AH289" s="73" t="s">
        <v>509</v>
      </c>
      <c r="AI289" s="139" t="s">
        <v>510</v>
      </c>
      <c r="AJ289" s="238">
        <f t="shared" si="106"/>
        <v>0</v>
      </c>
      <c r="AK289" s="238"/>
      <c r="AL289" s="358" t="s">
        <v>509</v>
      </c>
      <c r="AM289" s="48">
        <v>3942736.0699999989</v>
      </c>
      <c r="AN289" s="238" t="s">
        <v>509</v>
      </c>
      <c r="AO289" s="238">
        <v>3345022.45</v>
      </c>
      <c r="AQ289" s="472">
        <f t="shared" si="107"/>
        <v>0</v>
      </c>
      <c r="AS289" t="s">
        <v>509</v>
      </c>
      <c r="AT289" t="s">
        <v>1837</v>
      </c>
      <c r="AU289" s="48">
        <v>2255826.9900000002</v>
      </c>
      <c r="AV289" s="48">
        <v>141167.25</v>
      </c>
      <c r="AW289" s="48">
        <v>29476.32</v>
      </c>
      <c r="AX289" s="48">
        <v>4074.99</v>
      </c>
      <c r="AY289" s="48">
        <v>453816.77</v>
      </c>
      <c r="AZ289" s="48">
        <v>176365.83</v>
      </c>
      <c r="BA289" s="48">
        <v>90792.8</v>
      </c>
      <c r="BB289" s="48">
        <v>104014.07</v>
      </c>
      <c r="BC289" s="48">
        <v>13254.08</v>
      </c>
      <c r="BD289" s="48">
        <v>76233.350000000006</v>
      </c>
      <c r="BE289" s="48"/>
      <c r="BF289" s="48">
        <f t="shared" si="118"/>
        <v>3345022.45</v>
      </c>
      <c r="BG289" s="48"/>
      <c r="BH289" s="48"/>
      <c r="BI289" s="48" t="str">
        <f t="shared" si="119"/>
        <v>27010</v>
      </c>
      <c r="BJ289" s="48">
        <f t="shared" si="120"/>
        <v>3345022.45</v>
      </c>
      <c r="BK289" s="628">
        <f t="shared" si="110"/>
        <v>0</v>
      </c>
    </row>
    <row r="290" spans="1:63">
      <c r="A290" s="196">
        <v>283</v>
      </c>
      <c r="B290" s="73" t="s">
        <v>309</v>
      </c>
      <c r="C290" s="139" t="s">
        <v>310</v>
      </c>
      <c r="D290" s="168">
        <v>0</v>
      </c>
      <c r="E290" s="170">
        <v>16425.97</v>
      </c>
      <c r="F290" s="171">
        <f t="shared" si="111"/>
        <v>16425.97</v>
      </c>
      <c r="G290" s="181">
        <v>57345.35</v>
      </c>
      <c r="H290" s="178">
        <v>0</v>
      </c>
      <c r="I290" s="170">
        <v>23967.25</v>
      </c>
      <c r="J290" s="171">
        <f t="shared" si="112"/>
        <v>23967.25</v>
      </c>
      <c r="K290" s="202">
        <v>50087.13</v>
      </c>
      <c r="L290" s="171">
        <v>0</v>
      </c>
      <c r="M290" s="197">
        <v>24003.71</v>
      </c>
      <c r="N290" s="171">
        <f t="shared" si="113"/>
        <v>24003.71</v>
      </c>
      <c r="O290" s="202">
        <v>60853.380000000005</v>
      </c>
      <c r="P290" s="238">
        <v>0</v>
      </c>
      <c r="Q290" s="197">
        <v>26195.059999999998</v>
      </c>
      <c r="R290" s="171">
        <f t="shared" si="114"/>
        <v>26195.059999999998</v>
      </c>
      <c r="S290" s="202">
        <v>31228.079999999998</v>
      </c>
      <c r="T290" s="238">
        <v>0</v>
      </c>
      <c r="U290" s="238">
        <v>27761.14</v>
      </c>
      <c r="V290" s="171">
        <f t="shared" si="115"/>
        <v>27761.14</v>
      </c>
      <c r="W290" s="56">
        <v>33135.17</v>
      </c>
      <c r="X290" s="568">
        <f t="shared" si="103"/>
        <v>0</v>
      </c>
      <c r="Y290" s="569">
        <v>30599.939999999995</v>
      </c>
      <c r="Z290" s="171">
        <f t="shared" si="116"/>
        <v>30599.939999999995</v>
      </c>
      <c r="AA290" s="48">
        <v>45658.489999999991</v>
      </c>
      <c r="AB290" s="238">
        <f t="shared" si="104"/>
        <v>0</v>
      </c>
      <c r="AC290" s="238">
        <v>30232.43</v>
      </c>
      <c r="AD290" s="171">
        <f t="shared" si="117"/>
        <v>30232.43</v>
      </c>
      <c r="AE290" s="238"/>
      <c r="AF290" s="238">
        <f t="shared" si="105"/>
        <v>0</v>
      </c>
      <c r="AG290" s="196">
        <v>283</v>
      </c>
      <c r="AH290" s="73" t="s">
        <v>309</v>
      </c>
      <c r="AI290" s="139" t="s">
        <v>310</v>
      </c>
      <c r="AJ290" s="238">
        <f t="shared" si="106"/>
        <v>0</v>
      </c>
      <c r="AK290" s="238"/>
      <c r="AL290" s="358" t="s">
        <v>309</v>
      </c>
      <c r="AM290" s="48">
        <v>45658.489999999991</v>
      </c>
      <c r="AN290" s="238" t="s">
        <v>309</v>
      </c>
      <c r="AO290" s="238">
        <v>30232.43</v>
      </c>
      <c r="AQ290" s="472">
        <f t="shared" si="107"/>
        <v>0</v>
      </c>
      <c r="AS290" t="s">
        <v>309</v>
      </c>
      <c r="AT290" t="s">
        <v>1734</v>
      </c>
      <c r="AU290" s="48">
        <v>24824.25</v>
      </c>
      <c r="AV290" s="48">
        <v>206.58</v>
      </c>
      <c r="AW290" s="48">
        <v>0</v>
      </c>
      <c r="AX290" s="48">
        <v>0</v>
      </c>
      <c r="AY290" s="48">
        <v>2924.53</v>
      </c>
      <c r="AZ290" s="48">
        <v>1429.14</v>
      </c>
      <c r="BA290" s="48">
        <v>847.93</v>
      </c>
      <c r="BB290" s="48">
        <v>0</v>
      </c>
      <c r="BC290" s="48">
        <v>0</v>
      </c>
      <c r="BD290" s="48">
        <v>0</v>
      </c>
      <c r="BE290" s="48"/>
      <c r="BF290" s="48">
        <f t="shared" si="118"/>
        <v>30232.43</v>
      </c>
      <c r="BG290" s="48"/>
      <c r="BH290" s="48"/>
      <c r="BI290" s="48" t="str">
        <f t="shared" si="119"/>
        <v>14077</v>
      </c>
      <c r="BJ290" s="48">
        <f t="shared" si="120"/>
        <v>30232.43</v>
      </c>
      <c r="BK290" s="628">
        <f t="shared" si="110"/>
        <v>0</v>
      </c>
    </row>
    <row r="291" spans="1:63">
      <c r="A291" s="196">
        <v>284</v>
      </c>
      <c r="B291" s="73" t="s">
        <v>361</v>
      </c>
      <c r="C291" s="139" t="s">
        <v>362</v>
      </c>
      <c r="D291" s="168">
        <v>18956.100000000035</v>
      </c>
      <c r="E291" s="170">
        <v>625712.98</v>
      </c>
      <c r="F291" s="171">
        <f t="shared" si="111"/>
        <v>644669.08000000007</v>
      </c>
      <c r="G291" s="181">
        <v>612080.63</v>
      </c>
      <c r="H291" s="178">
        <v>32588.45000000007</v>
      </c>
      <c r="I291" s="170">
        <v>890656.95</v>
      </c>
      <c r="J291" s="171">
        <f t="shared" si="112"/>
        <v>923245.4</v>
      </c>
      <c r="K291" s="202">
        <v>756332.74</v>
      </c>
      <c r="L291" s="171">
        <v>166912.66000000003</v>
      </c>
      <c r="M291" s="197">
        <v>930868.19000000006</v>
      </c>
      <c r="N291" s="171">
        <f t="shared" si="113"/>
        <v>1097780.8500000001</v>
      </c>
      <c r="O291" s="202">
        <v>802986.00999999989</v>
      </c>
      <c r="P291" s="238">
        <v>294794.8400000002</v>
      </c>
      <c r="Q291" s="197">
        <v>1023404.6699999999</v>
      </c>
      <c r="R291" s="171">
        <f t="shared" si="114"/>
        <v>1318199.5100000002</v>
      </c>
      <c r="S291" s="202">
        <v>997594.13</v>
      </c>
      <c r="T291" s="238">
        <v>320605.38000000024</v>
      </c>
      <c r="U291" s="238">
        <v>1052831.27</v>
      </c>
      <c r="V291" s="171">
        <f t="shared" si="115"/>
        <v>1373436.6500000004</v>
      </c>
      <c r="W291" s="56">
        <v>962383.99999999988</v>
      </c>
      <c r="X291" s="568">
        <f t="shared" si="103"/>
        <v>411052.65000000049</v>
      </c>
      <c r="Y291" s="569">
        <v>1092095.21</v>
      </c>
      <c r="Z291" s="171">
        <f t="shared" si="116"/>
        <v>1503147.8600000003</v>
      </c>
      <c r="AA291" s="48">
        <v>1060577.9900000002</v>
      </c>
      <c r="AB291" s="238">
        <f t="shared" si="104"/>
        <v>442569.87000000011</v>
      </c>
      <c r="AC291" s="238">
        <v>1047727.7099999998</v>
      </c>
      <c r="AD291" s="171">
        <f t="shared" si="117"/>
        <v>1490297.58</v>
      </c>
      <c r="AE291" s="238"/>
      <c r="AF291" s="238">
        <f t="shared" si="105"/>
        <v>0</v>
      </c>
      <c r="AG291" s="196">
        <v>284</v>
      </c>
      <c r="AH291" s="73" t="s">
        <v>361</v>
      </c>
      <c r="AI291" s="139" t="s">
        <v>362</v>
      </c>
      <c r="AJ291" s="238">
        <f t="shared" si="106"/>
        <v>0</v>
      </c>
      <c r="AK291" s="238"/>
      <c r="AL291" s="358" t="s">
        <v>361</v>
      </c>
      <c r="AM291" s="48">
        <v>1060577.9900000002</v>
      </c>
      <c r="AN291" s="238" t="s">
        <v>361</v>
      </c>
      <c r="AO291" s="238">
        <v>1047727.7099999998</v>
      </c>
      <c r="AQ291" s="472">
        <f t="shared" si="107"/>
        <v>0</v>
      </c>
      <c r="AS291" t="s">
        <v>361</v>
      </c>
      <c r="AT291" t="s">
        <v>1761</v>
      </c>
      <c r="AU291" s="48">
        <v>845624.6</v>
      </c>
      <c r="AV291" s="48">
        <v>54048.35</v>
      </c>
      <c r="AW291" s="48">
        <v>4252.62</v>
      </c>
      <c r="AX291" s="48">
        <v>0</v>
      </c>
      <c r="AY291" s="48">
        <v>98593.83</v>
      </c>
      <c r="AZ291" s="48">
        <v>20864.36</v>
      </c>
      <c r="BA291" s="48">
        <v>0</v>
      </c>
      <c r="BB291" s="48">
        <v>17328.349999999999</v>
      </c>
      <c r="BC291" s="48">
        <v>4828.16</v>
      </c>
      <c r="BD291" s="48">
        <v>2187.44</v>
      </c>
      <c r="BE291" s="48"/>
      <c r="BF291" s="48">
        <f t="shared" si="118"/>
        <v>1047727.7099999998</v>
      </c>
      <c r="BG291" s="48"/>
      <c r="BH291" s="48"/>
      <c r="BI291" s="48" t="str">
        <f t="shared" si="119"/>
        <v>17409</v>
      </c>
      <c r="BJ291" s="48">
        <f t="shared" si="120"/>
        <v>1047727.7099999998</v>
      </c>
      <c r="BK291" s="628">
        <f t="shared" si="110"/>
        <v>0</v>
      </c>
    </row>
    <row r="292" spans="1:63">
      <c r="A292" s="196">
        <v>285</v>
      </c>
      <c r="B292" s="73" t="s">
        <v>689</v>
      </c>
      <c r="C292" s="139" t="s">
        <v>690</v>
      </c>
      <c r="D292" s="168">
        <v>321.4900000000016</v>
      </c>
      <c r="E292" s="170">
        <v>19172.870000000003</v>
      </c>
      <c r="F292" s="171">
        <f t="shared" si="111"/>
        <v>19494.360000000004</v>
      </c>
      <c r="G292" s="181">
        <v>21928.41</v>
      </c>
      <c r="H292" s="178">
        <v>0</v>
      </c>
      <c r="I292" s="170">
        <v>26345</v>
      </c>
      <c r="J292" s="171">
        <f t="shared" si="112"/>
        <v>26345</v>
      </c>
      <c r="K292" s="202">
        <v>26345</v>
      </c>
      <c r="L292" s="171">
        <v>0</v>
      </c>
      <c r="M292" s="197">
        <v>27128.94</v>
      </c>
      <c r="N292" s="171">
        <f t="shared" si="113"/>
        <v>27128.94</v>
      </c>
      <c r="O292" s="202">
        <v>27180.36</v>
      </c>
      <c r="P292" s="238">
        <v>0</v>
      </c>
      <c r="Q292" s="197">
        <v>29907.15</v>
      </c>
      <c r="R292" s="171">
        <f t="shared" si="114"/>
        <v>29907.15</v>
      </c>
      <c r="S292" s="202">
        <v>22672.34</v>
      </c>
      <c r="T292" s="238">
        <v>7234.8100000000013</v>
      </c>
      <c r="U292" s="238">
        <v>30011.799999999996</v>
      </c>
      <c r="V292" s="171">
        <f t="shared" si="115"/>
        <v>37246.61</v>
      </c>
      <c r="W292" s="56">
        <v>38037.160000000003</v>
      </c>
      <c r="X292" s="568">
        <f t="shared" si="103"/>
        <v>0</v>
      </c>
      <c r="Y292" s="569">
        <v>31774.91</v>
      </c>
      <c r="Z292" s="171">
        <f t="shared" si="116"/>
        <v>31774.91</v>
      </c>
      <c r="AA292" s="48">
        <v>34489.270000000004</v>
      </c>
      <c r="AB292" s="238">
        <f t="shared" si="104"/>
        <v>0</v>
      </c>
      <c r="AC292" s="238">
        <v>30763.109999999997</v>
      </c>
      <c r="AD292" s="171">
        <f t="shared" si="117"/>
        <v>30763.109999999997</v>
      </c>
      <c r="AE292" s="238"/>
      <c r="AF292" s="238">
        <f t="shared" si="105"/>
        <v>0</v>
      </c>
      <c r="AG292" s="196">
        <v>285</v>
      </c>
      <c r="AH292" s="73" t="s">
        <v>689</v>
      </c>
      <c r="AI292" s="139" t="s">
        <v>690</v>
      </c>
      <c r="AJ292" s="238">
        <f t="shared" si="106"/>
        <v>0</v>
      </c>
      <c r="AK292" s="238"/>
      <c r="AL292" s="358" t="s">
        <v>689</v>
      </c>
      <c r="AM292" s="48">
        <v>34489.270000000004</v>
      </c>
      <c r="AN292" s="238" t="s">
        <v>689</v>
      </c>
      <c r="AO292" s="238">
        <v>30763.109999999997</v>
      </c>
      <c r="AQ292" s="472">
        <f t="shared" si="107"/>
        <v>0</v>
      </c>
      <c r="AS292" t="s">
        <v>689</v>
      </c>
      <c r="AT292" t="s">
        <v>1931</v>
      </c>
      <c r="AU292" s="48">
        <v>20670.939999999999</v>
      </c>
      <c r="AV292" s="48">
        <v>2378.8200000000002</v>
      </c>
      <c r="AW292" s="48">
        <v>1026.76</v>
      </c>
      <c r="AX292" s="48">
        <v>0</v>
      </c>
      <c r="AY292" s="48">
        <v>3726.54</v>
      </c>
      <c r="AZ292" s="48">
        <v>1250.31</v>
      </c>
      <c r="BA292" s="48">
        <v>874.14</v>
      </c>
      <c r="BB292" s="48">
        <v>40.090000000000003</v>
      </c>
      <c r="BC292" s="48">
        <v>83.25</v>
      </c>
      <c r="BD292" s="48">
        <v>712.26</v>
      </c>
      <c r="BE292" s="48"/>
      <c r="BF292" s="48">
        <f t="shared" si="118"/>
        <v>30763.109999999997</v>
      </c>
      <c r="BG292" s="48"/>
      <c r="BH292" s="48"/>
      <c r="BI292" s="48" t="str">
        <f t="shared" si="119"/>
        <v>38265</v>
      </c>
      <c r="BJ292" s="48">
        <f t="shared" si="120"/>
        <v>30763.109999999997</v>
      </c>
      <c r="BK292" s="628">
        <f t="shared" si="110"/>
        <v>0</v>
      </c>
    </row>
    <row r="293" spans="1:63">
      <c r="A293" s="196">
        <v>286</v>
      </c>
      <c r="B293" s="73" t="s">
        <v>654</v>
      </c>
      <c r="C293" s="139" t="s">
        <v>655</v>
      </c>
      <c r="D293" s="168">
        <v>4418.8899999999994</v>
      </c>
      <c r="E293" s="170">
        <v>83276.58</v>
      </c>
      <c r="F293" s="171">
        <f t="shared" si="111"/>
        <v>87695.47</v>
      </c>
      <c r="G293" s="181">
        <v>86373.15</v>
      </c>
      <c r="H293" s="178">
        <v>1322.320000000007</v>
      </c>
      <c r="I293" s="170">
        <v>116208.86</v>
      </c>
      <c r="J293" s="171">
        <f t="shared" si="112"/>
        <v>117531.18000000001</v>
      </c>
      <c r="K293" s="202">
        <v>117584.64000000001</v>
      </c>
      <c r="L293" s="171">
        <v>0</v>
      </c>
      <c r="M293" s="197">
        <v>114186.56999999999</v>
      </c>
      <c r="N293" s="171">
        <f t="shared" si="113"/>
        <v>114186.56999999999</v>
      </c>
      <c r="O293" s="202">
        <v>122785.39999999998</v>
      </c>
      <c r="P293" s="238">
        <v>0</v>
      </c>
      <c r="Q293" s="197">
        <v>127686.73999999999</v>
      </c>
      <c r="R293" s="171">
        <f t="shared" si="114"/>
        <v>127686.73999999999</v>
      </c>
      <c r="S293" s="202">
        <v>127687.2</v>
      </c>
      <c r="T293" s="238">
        <v>0</v>
      </c>
      <c r="U293" s="238">
        <v>131706.1</v>
      </c>
      <c r="V293" s="171">
        <f t="shared" si="115"/>
        <v>131706.1</v>
      </c>
      <c r="W293" s="56">
        <v>168766.76999999993</v>
      </c>
      <c r="X293" s="568">
        <f t="shared" si="103"/>
        <v>0</v>
      </c>
      <c r="Y293" s="569">
        <v>138894.51</v>
      </c>
      <c r="Z293" s="171">
        <f t="shared" si="116"/>
        <v>138894.51</v>
      </c>
      <c r="AA293" s="48">
        <v>157793.20000000001</v>
      </c>
      <c r="AB293" s="238">
        <f t="shared" si="104"/>
        <v>0</v>
      </c>
      <c r="AC293" s="238">
        <v>135933.10999999999</v>
      </c>
      <c r="AD293" s="171">
        <f t="shared" si="117"/>
        <v>135933.10999999999</v>
      </c>
      <c r="AE293" s="238"/>
      <c r="AF293" s="238">
        <f t="shared" si="105"/>
        <v>0</v>
      </c>
      <c r="AG293" s="196">
        <v>286</v>
      </c>
      <c r="AH293" s="73" t="s">
        <v>654</v>
      </c>
      <c r="AI293" s="139" t="s">
        <v>655</v>
      </c>
      <c r="AJ293" s="238">
        <f t="shared" si="106"/>
        <v>0</v>
      </c>
      <c r="AK293" s="238"/>
      <c r="AL293" s="358" t="s">
        <v>654</v>
      </c>
      <c r="AM293" s="48">
        <v>157793.20000000001</v>
      </c>
      <c r="AN293" s="238" t="s">
        <v>654</v>
      </c>
      <c r="AO293" s="238">
        <v>135933.10999999999</v>
      </c>
      <c r="AQ293" s="472">
        <f t="shared" si="107"/>
        <v>0</v>
      </c>
      <c r="AS293" t="s">
        <v>654</v>
      </c>
      <c r="AT293" t="s">
        <v>1911</v>
      </c>
      <c r="AU293" s="48">
        <v>94739.77</v>
      </c>
      <c r="AV293" s="48">
        <v>8001.36</v>
      </c>
      <c r="AW293" s="48">
        <v>2583.87</v>
      </c>
      <c r="AX293" s="48">
        <v>0</v>
      </c>
      <c r="AY293" s="48">
        <v>17522.259999999998</v>
      </c>
      <c r="AZ293" s="48">
        <v>6189.88</v>
      </c>
      <c r="BA293" s="48">
        <v>3960.6</v>
      </c>
      <c r="BB293" s="48">
        <v>587.38</v>
      </c>
      <c r="BC293" s="48">
        <v>542.67999999999995</v>
      </c>
      <c r="BD293" s="48">
        <v>1805.31</v>
      </c>
      <c r="BE293" s="48"/>
      <c r="BF293" s="48">
        <f t="shared" si="118"/>
        <v>135933.10999999999</v>
      </c>
      <c r="BG293" s="48"/>
      <c r="BH293" s="48"/>
      <c r="BI293" s="48" t="str">
        <f t="shared" si="119"/>
        <v>34402</v>
      </c>
      <c r="BJ293" s="48">
        <f t="shared" si="120"/>
        <v>135933.10999999999</v>
      </c>
      <c r="BK293" s="628">
        <f t="shared" si="110"/>
        <v>0</v>
      </c>
    </row>
    <row r="294" spans="1:63">
      <c r="A294" s="196">
        <v>287</v>
      </c>
      <c r="B294" s="73" t="s">
        <v>388</v>
      </c>
      <c r="C294" s="139" t="s">
        <v>389</v>
      </c>
      <c r="D294" s="168">
        <v>0</v>
      </c>
      <c r="E294" s="170">
        <v>19929.310000000001</v>
      </c>
      <c r="F294" s="171">
        <f t="shared" si="111"/>
        <v>19929.310000000001</v>
      </c>
      <c r="G294" s="181">
        <v>28528.58</v>
      </c>
      <c r="H294" s="178">
        <v>0</v>
      </c>
      <c r="I294" s="170">
        <v>29833.86</v>
      </c>
      <c r="J294" s="171">
        <f t="shared" si="112"/>
        <v>29833.86</v>
      </c>
      <c r="K294" s="202">
        <v>40724.92</v>
      </c>
      <c r="L294" s="171">
        <v>0</v>
      </c>
      <c r="M294" s="197">
        <v>30584.06</v>
      </c>
      <c r="N294" s="171">
        <f t="shared" si="113"/>
        <v>30584.06</v>
      </c>
      <c r="O294" s="202">
        <v>43130.28</v>
      </c>
      <c r="P294" s="238">
        <v>0</v>
      </c>
      <c r="Q294" s="197">
        <v>36164.959999999999</v>
      </c>
      <c r="R294" s="171">
        <f t="shared" si="114"/>
        <v>36164.959999999999</v>
      </c>
      <c r="S294" s="202">
        <v>42364.13</v>
      </c>
      <c r="T294" s="238">
        <v>0</v>
      </c>
      <c r="U294" s="238">
        <v>37982.83</v>
      </c>
      <c r="V294" s="171">
        <f t="shared" si="115"/>
        <v>37982.83</v>
      </c>
      <c r="W294" s="56">
        <v>45826.92</v>
      </c>
      <c r="X294" s="568">
        <f t="shared" si="103"/>
        <v>0</v>
      </c>
      <c r="Y294" s="569">
        <v>37756.25</v>
      </c>
      <c r="Z294" s="171">
        <f t="shared" si="116"/>
        <v>37756.25</v>
      </c>
      <c r="AA294" s="48">
        <v>52575.76999999999</v>
      </c>
      <c r="AB294" s="238">
        <f t="shared" si="104"/>
        <v>0</v>
      </c>
      <c r="AC294" s="238">
        <v>42651.479999999996</v>
      </c>
      <c r="AD294" s="171">
        <f t="shared" si="117"/>
        <v>42651.479999999996</v>
      </c>
      <c r="AE294" s="238"/>
      <c r="AF294" s="238">
        <f t="shared" si="105"/>
        <v>0</v>
      </c>
      <c r="AG294" s="196">
        <v>287</v>
      </c>
      <c r="AH294" s="73" t="s">
        <v>388</v>
      </c>
      <c r="AI294" s="139" t="s">
        <v>389</v>
      </c>
      <c r="AJ294" s="238">
        <f t="shared" si="106"/>
        <v>0</v>
      </c>
      <c r="AK294" s="238"/>
      <c r="AL294" s="358" t="s">
        <v>388</v>
      </c>
      <c r="AM294" s="48">
        <v>52575.76999999999</v>
      </c>
      <c r="AN294" s="238" t="s">
        <v>388</v>
      </c>
      <c r="AO294" s="238">
        <v>42651.479999999996</v>
      </c>
      <c r="AQ294" s="472">
        <f t="shared" si="107"/>
        <v>0</v>
      </c>
      <c r="AS294" t="s">
        <v>388</v>
      </c>
      <c r="AT294" t="s">
        <v>1777</v>
      </c>
      <c r="AU294" s="48">
        <v>30410.62</v>
      </c>
      <c r="AV294" s="48">
        <v>2513.38</v>
      </c>
      <c r="AW294" s="48">
        <v>1880.95</v>
      </c>
      <c r="AX294" s="48">
        <v>0</v>
      </c>
      <c r="AY294" s="48">
        <v>4248.07</v>
      </c>
      <c r="AZ294" s="48">
        <v>1253.42</v>
      </c>
      <c r="BA294" s="48">
        <v>0</v>
      </c>
      <c r="BB294" s="48">
        <v>158.51</v>
      </c>
      <c r="BC294" s="48">
        <v>116.02</v>
      </c>
      <c r="BD294" s="48">
        <v>2070.5100000000002</v>
      </c>
      <c r="BE294" s="48"/>
      <c r="BF294" s="48">
        <f t="shared" si="118"/>
        <v>42651.479999999996</v>
      </c>
      <c r="BG294" s="48"/>
      <c r="BH294" s="48"/>
      <c r="BI294" s="48" t="str">
        <f t="shared" si="119"/>
        <v>19400</v>
      </c>
      <c r="BJ294" s="48">
        <f t="shared" si="120"/>
        <v>42651.479999999996</v>
      </c>
      <c r="BK294" s="628">
        <f t="shared" si="110"/>
        <v>0</v>
      </c>
    </row>
    <row r="295" spans="1:63">
      <c r="A295" s="196">
        <v>288</v>
      </c>
      <c r="B295" s="73" t="s">
        <v>430</v>
      </c>
      <c r="C295" s="139" t="s">
        <v>431</v>
      </c>
      <c r="D295" s="168">
        <v>980.66000000000349</v>
      </c>
      <c r="E295" s="170">
        <v>51896.14</v>
      </c>
      <c r="F295" s="171">
        <f t="shared" si="111"/>
        <v>52876.800000000003</v>
      </c>
      <c r="G295" s="181">
        <v>47807.32</v>
      </c>
      <c r="H295" s="178">
        <v>5069.4800000000032</v>
      </c>
      <c r="I295" s="170">
        <v>71877.08</v>
      </c>
      <c r="J295" s="171">
        <f t="shared" si="112"/>
        <v>76946.559999999998</v>
      </c>
      <c r="K295" s="202">
        <v>57506.129999999983</v>
      </c>
      <c r="L295" s="171">
        <v>19440.430000000015</v>
      </c>
      <c r="M295" s="197">
        <v>75588.100000000006</v>
      </c>
      <c r="N295" s="171">
        <f t="shared" si="113"/>
        <v>95028.530000000028</v>
      </c>
      <c r="O295" s="202">
        <v>61878.630000000005</v>
      </c>
      <c r="P295" s="238">
        <v>33149.900000000023</v>
      </c>
      <c r="Q295" s="197">
        <v>81549.939999999988</v>
      </c>
      <c r="R295" s="171">
        <f t="shared" si="114"/>
        <v>114699.84000000001</v>
      </c>
      <c r="S295" s="202">
        <v>50258.57</v>
      </c>
      <c r="T295" s="238">
        <v>64441.270000000011</v>
      </c>
      <c r="U295" s="238">
        <v>86531.13</v>
      </c>
      <c r="V295" s="171">
        <f t="shared" si="115"/>
        <v>150972.40000000002</v>
      </c>
      <c r="W295" s="56">
        <v>78319.69</v>
      </c>
      <c r="X295" s="568">
        <f t="shared" si="103"/>
        <v>72652.710000000021</v>
      </c>
      <c r="Y295" s="569">
        <v>98476.070000000022</v>
      </c>
      <c r="Z295" s="171">
        <f t="shared" si="116"/>
        <v>171128.78000000003</v>
      </c>
      <c r="AA295" s="48">
        <v>89594.349999999991</v>
      </c>
      <c r="AB295" s="238">
        <f t="shared" si="104"/>
        <v>81534.430000000037</v>
      </c>
      <c r="AC295" s="238">
        <v>97667.489999999991</v>
      </c>
      <c r="AD295" s="171">
        <f t="shared" si="117"/>
        <v>179201.92000000004</v>
      </c>
      <c r="AE295" s="238"/>
      <c r="AF295" s="238">
        <f t="shared" si="105"/>
        <v>0</v>
      </c>
      <c r="AG295" s="196">
        <v>288</v>
      </c>
      <c r="AH295" s="73" t="s">
        <v>430</v>
      </c>
      <c r="AI295" s="139" t="s">
        <v>431</v>
      </c>
      <c r="AJ295" s="238">
        <f t="shared" si="106"/>
        <v>0</v>
      </c>
      <c r="AK295" s="238"/>
      <c r="AL295" s="358" t="s">
        <v>430</v>
      </c>
      <c r="AM295" s="48">
        <v>89594.349999999991</v>
      </c>
      <c r="AN295" s="238" t="s">
        <v>430</v>
      </c>
      <c r="AO295" s="238">
        <v>97667.489999999991</v>
      </c>
      <c r="AQ295" s="472">
        <f t="shared" si="107"/>
        <v>0</v>
      </c>
      <c r="AS295" t="s">
        <v>430</v>
      </c>
      <c r="AT295" t="s">
        <v>1798</v>
      </c>
      <c r="AU295" s="48">
        <v>69066.05</v>
      </c>
      <c r="AV295" s="48">
        <v>5730.45</v>
      </c>
      <c r="AW295" s="48">
        <v>2132.15</v>
      </c>
      <c r="AX295" s="48">
        <v>0</v>
      </c>
      <c r="AY295" s="48">
        <v>12421.45</v>
      </c>
      <c r="AZ295" s="48">
        <v>4702.1400000000003</v>
      </c>
      <c r="BA295" s="48">
        <v>2986.25</v>
      </c>
      <c r="BB295" s="48">
        <v>222</v>
      </c>
      <c r="BC295" s="48">
        <v>407</v>
      </c>
      <c r="BD295" s="48">
        <v>0</v>
      </c>
      <c r="BE295" s="48"/>
      <c r="BF295" s="48">
        <f t="shared" si="118"/>
        <v>97667.489999999991</v>
      </c>
      <c r="BG295" s="48"/>
      <c r="BH295" s="48"/>
      <c r="BI295" s="48" t="str">
        <f t="shared" si="119"/>
        <v>21237</v>
      </c>
      <c r="BJ295" s="48">
        <f t="shared" si="120"/>
        <v>97667.489999999991</v>
      </c>
      <c r="BK295" s="628">
        <f t="shared" si="110"/>
        <v>0</v>
      </c>
    </row>
    <row r="296" spans="1:63">
      <c r="A296" s="196">
        <v>289</v>
      </c>
      <c r="B296" s="73" t="s">
        <v>484</v>
      </c>
      <c r="C296" s="139" t="s">
        <v>485</v>
      </c>
      <c r="D296" s="168">
        <v>0</v>
      </c>
      <c r="E296" s="170">
        <v>67386.38</v>
      </c>
      <c r="F296" s="171">
        <f t="shared" si="111"/>
        <v>67386.38</v>
      </c>
      <c r="G296" s="181">
        <v>62619.57</v>
      </c>
      <c r="H296" s="178">
        <v>4766.8100000000049</v>
      </c>
      <c r="I296" s="170">
        <v>98085.34</v>
      </c>
      <c r="J296" s="171">
        <f t="shared" si="112"/>
        <v>102852.15</v>
      </c>
      <c r="K296" s="202">
        <v>97038.700000000026</v>
      </c>
      <c r="L296" s="171">
        <v>5813.449999999968</v>
      </c>
      <c r="M296" s="197">
        <v>98995.51999999999</v>
      </c>
      <c r="N296" s="171">
        <f t="shared" si="113"/>
        <v>104808.96999999996</v>
      </c>
      <c r="O296" s="202">
        <v>115176.44</v>
      </c>
      <c r="P296" s="238">
        <v>0</v>
      </c>
      <c r="Q296" s="197">
        <v>110770.1</v>
      </c>
      <c r="R296" s="171">
        <f t="shared" si="114"/>
        <v>110770.1</v>
      </c>
      <c r="S296" s="202">
        <v>88848.55</v>
      </c>
      <c r="T296" s="238">
        <v>21921.550000000003</v>
      </c>
      <c r="U296" s="238">
        <v>110232.49</v>
      </c>
      <c r="V296" s="171">
        <f t="shared" si="115"/>
        <v>132154.04</v>
      </c>
      <c r="W296" s="56">
        <v>102403.46999999997</v>
      </c>
      <c r="X296" s="568">
        <f t="shared" si="103"/>
        <v>29750.570000000036</v>
      </c>
      <c r="Y296" s="569">
        <v>111166.57</v>
      </c>
      <c r="Z296" s="171">
        <f t="shared" si="116"/>
        <v>140917.14000000004</v>
      </c>
      <c r="AA296" s="48">
        <v>135516.61000000007</v>
      </c>
      <c r="AB296" s="238">
        <f t="shared" si="104"/>
        <v>5400.5299999999697</v>
      </c>
      <c r="AC296" s="238">
        <v>109971.17000000001</v>
      </c>
      <c r="AD296" s="171">
        <f t="shared" si="117"/>
        <v>115371.69999999998</v>
      </c>
      <c r="AE296" s="238"/>
      <c r="AF296" s="238">
        <f t="shared" si="105"/>
        <v>0</v>
      </c>
      <c r="AG296" s="196">
        <v>289</v>
      </c>
      <c r="AH296" s="73" t="s">
        <v>484</v>
      </c>
      <c r="AI296" s="139" t="s">
        <v>485</v>
      </c>
      <c r="AJ296" s="238">
        <f t="shared" si="106"/>
        <v>0</v>
      </c>
      <c r="AK296" s="238"/>
      <c r="AL296" s="358" t="s">
        <v>484</v>
      </c>
      <c r="AM296" s="48">
        <v>135516.61000000007</v>
      </c>
      <c r="AN296" s="238" t="s">
        <v>484</v>
      </c>
      <c r="AO296" s="238">
        <v>109971.17000000001</v>
      </c>
      <c r="AQ296" s="472">
        <f t="shared" si="107"/>
        <v>0</v>
      </c>
      <c r="AS296" t="s">
        <v>484</v>
      </c>
      <c r="AT296" t="s">
        <v>1824</v>
      </c>
      <c r="AU296" s="48">
        <v>74924.460000000006</v>
      </c>
      <c r="AV296" s="48">
        <v>4165.6400000000003</v>
      </c>
      <c r="AW296" s="48">
        <v>502.59</v>
      </c>
      <c r="AX296" s="48">
        <v>0</v>
      </c>
      <c r="AY296" s="48">
        <v>14708.77</v>
      </c>
      <c r="AZ296" s="48">
        <v>7321.47</v>
      </c>
      <c r="BA296" s="48">
        <v>4771.53</v>
      </c>
      <c r="BB296" s="48">
        <v>3118.83</v>
      </c>
      <c r="BC296" s="48">
        <v>457.88</v>
      </c>
      <c r="BD296" s="48">
        <v>0</v>
      </c>
      <c r="BE296" s="48"/>
      <c r="BF296" s="48">
        <f t="shared" si="118"/>
        <v>109971.17000000001</v>
      </c>
      <c r="BG296" s="48"/>
      <c r="BH296" s="48"/>
      <c r="BI296" s="48" t="str">
        <f t="shared" si="119"/>
        <v>24404</v>
      </c>
      <c r="BJ296" s="48">
        <f t="shared" si="120"/>
        <v>109971.17000000001</v>
      </c>
      <c r="BK296" s="628">
        <f t="shared" si="110"/>
        <v>0</v>
      </c>
    </row>
    <row r="297" spans="1:63">
      <c r="A297" s="196">
        <v>290</v>
      </c>
      <c r="B297" s="73" t="s">
        <v>726</v>
      </c>
      <c r="C297" s="139" t="s">
        <v>727</v>
      </c>
      <c r="D297" s="168">
        <v>0</v>
      </c>
      <c r="E297" s="170">
        <v>267315.03999999998</v>
      </c>
      <c r="F297" s="171">
        <f t="shared" si="111"/>
        <v>267315.03999999998</v>
      </c>
      <c r="G297" s="181">
        <v>250300.44</v>
      </c>
      <c r="H297" s="178">
        <v>17014.599999999977</v>
      </c>
      <c r="I297" s="170">
        <v>394998.14</v>
      </c>
      <c r="J297" s="171">
        <f t="shared" si="112"/>
        <v>412012.74</v>
      </c>
      <c r="K297" s="202">
        <v>317083.36999999988</v>
      </c>
      <c r="L297" s="171">
        <v>94929.370000000112</v>
      </c>
      <c r="M297" s="197">
        <v>389963.94</v>
      </c>
      <c r="N297" s="171">
        <f t="shared" si="113"/>
        <v>484893.31000000011</v>
      </c>
      <c r="O297" s="202">
        <v>257606.46000000002</v>
      </c>
      <c r="P297" s="238">
        <v>227286.85000000009</v>
      </c>
      <c r="Q297" s="197">
        <v>416003.9</v>
      </c>
      <c r="R297" s="171">
        <f t="shared" si="114"/>
        <v>643290.75000000012</v>
      </c>
      <c r="S297" s="202">
        <v>424446.47000000003</v>
      </c>
      <c r="T297" s="238">
        <v>218844.28000000009</v>
      </c>
      <c r="U297" s="238">
        <v>408016.13</v>
      </c>
      <c r="V297" s="171">
        <f t="shared" si="115"/>
        <v>626860.41000000015</v>
      </c>
      <c r="W297" s="56">
        <v>417765.35000000021</v>
      </c>
      <c r="X297" s="568">
        <f t="shared" si="103"/>
        <v>209095.05999999994</v>
      </c>
      <c r="Y297" s="569">
        <v>419464.31</v>
      </c>
      <c r="Z297" s="171">
        <f t="shared" si="116"/>
        <v>628559.36999999988</v>
      </c>
      <c r="AA297" s="48">
        <v>516392.58</v>
      </c>
      <c r="AB297" s="238">
        <f t="shared" si="104"/>
        <v>112166.78999999986</v>
      </c>
      <c r="AC297" s="238">
        <v>414652.7</v>
      </c>
      <c r="AD297" s="171">
        <f t="shared" si="117"/>
        <v>526819.48999999987</v>
      </c>
      <c r="AE297" s="238"/>
      <c r="AF297" s="238">
        <f t="shared" si="105"/>
        <v>0</v>
      </c>
      <c r="AG297" s="196">
        <v>290</v>
      </c>
      <c r="AH297" s="73" t="s">
        <v>726</v>
      </c>
      <c r="AI297" s="139" t="s">
        <v>727</v>
      </c>
      <c r="AJ297" s="238">
        <f t="shared" si="106"/>
        <v>0</v>
      </c>
      <c r="AK297" s="238"/>
      <c r="AL297" s="358" t="s">
        <v>726</v>
      </c>
      <c r="AM297" s="48">
        <v>516392.58</v>
      </c>
      <c r="AN297" s="238" t="s">
        <v>726</v>
      </c>
      <c r="AO297" s="238">
        <v>414652.7</v>
      </c>
      <c r="AQ297" s="472">
        <f t="shared" si="107"/>
        <v>0</v>
      </c>
      <c r="AS297" t="s">
        <v>726</v>
      </c>
      <c r="AT297" t="s">
        <v>1950</v>
      </c>
      <c r="AU297" s="48">
        <v>206803.48</v>
      </c>
      <c r="AV297" s="48">
        <v>47013.75</v>
      </c>
      <c r="AW297" s="48">
        <v>25038.55</v>
      </c>
      <c r="AX297" s="48">
        <v>0</v>
      </c>
      <c r="AY297" s="48">
        <v>54927.7</v>
      </c>
      <c r="AZ297" s="48">
        <v>35707.019999999997</v>
      </c>
      <c r="BA297" s="48">
        <v>14983.66</v>
      </c>
      <c r="BB297" s="48">
        <v>28558.22</v>
      </c>
      <c r="BC297" s="48">
        <v>1620.32</v>
      </c>
      <c r="BD297" s="48">
        <v>0</v>
      </c>
      <c r="BE297" s="48"/>
      <c r="BF297" s="48">
        <f t="shared" si="118"/>
        <v>414652.7</v>
      </c>
      <c r="BG297" s="48"/>
      <c r="BH297" s="48"/>
      <c r="BI297" s="48" t="str">
        <f t="shared" si="119"/>
        <v>39202</v>
      </c>
      <c r="BJ297" s="48">
        <f t="shared" si="120"/>
        <v>414652.7</v>
      </c>
      <c r="BK297" s="628">
        <f t="shared" si="110"/>
        <v>0</v>
      </c>
    </row>
    <row r="298" spans="1:63">
      <c r="A298" s="196">
        <v>291</v>
      </c>
      <c r="B298" s="73" t="s">
        <v>664</v>
      </c>
      <c r="C298" s="139" t="s">
        <v>665</v>
      </c>
      <c r="D298" s="168">
        <v>2106.1699999999992</v>
      </c>
      <c r="E298" s="170">
        <v>18783.370000000003</v>
      </c>
      <c r="F298" s="171">
        <f t="shared" si="111"/>
        <v>20889.54</v>
      </c>
      <c r="G298" s="181">
        <v>14094.84</v>
      </c>
      <c r="H298" s="178">
        <v>6794.7000000000007</v>
      </c>
      <c r="I298" s="170">
        <v>28180.420000000006</v>
      </c>
      <c r="J298" s="171">
        <f t="shared" si="112"/>
        <v>34975.12000000001</v>
      </c>
      <c r="K298" s="202">
        <v>19118.2</v>
      </c>
      <c r="L298" s="171">
        <v>15856.920000000009</v>
      </c>
      <c r="M298" s="197">
        <v>27617.620000000003</v>
      </c>
      <c r="N298" s="171">
        <f t="shared" si="113"/>
        <v>43474.540000000008</v>
      </c>
      <c r="O298" s="202">
        <v>27683.03</v>
      </c>
      <c r="P298" s="238">
        <v>15791.510000000009</v>
      </c>
      <c r="Q298" s="197">
        <v>30018.560000000001</v>
      </c>
      <c r="R298" s="171">
        <f t="shared" si="114"/>
        <v>45810.070000000007</v>
      </c>
      <c r="S298" s="202">
        <v>19774.09</v>
      </c>
      <c r="T298" s="238">
        <v>26035.980000000007</v>
      </c>
      <c r="U298" s="238">
        <v>27464.22</v>
      </c>
      <c r="V298" s="171">
        <f t="shared" si="115"/>
        <v>53500.200000000012</v>
      </c>
      <c r="W298" s="56">
        <v>28521.749999999996</v>
      </c>
      <c r="X298" s="568">
        <f t="shared" si="103"/>
        <v>24978.450000000015</v>
      </c>
      <c r="Y298" s="569">
        <v>30510.790000000005</v>
      </c>
      <c r="Z298" s="171">
        <f t="shared" si="116"/>
        <v>55489.24000000002</v>
      </c>
      <c r="AA298" s="48">
        <v>41833.530000000006</v>
      </c>
      <c r="AB298" s="238">
        <f t="shared" si="104"/>
        <v>13655.710000000014</v>
      </c>
      <c r="AC298" s="238">
        <v>29277.19</v>
      </c>
      <c r="AD298" s="171">
        <f t="shared" si="117"/>
        <v>42932.900000000009</v>
      </c>
      <c r="AE298" s="238"/>
      <c r="AF298" s="238">
        <f t="shared" si="105"/>
        <v>0</v>
      </c>
      <c r="AG298" s="196">
        <v>291</v>
      </c>
      <c r="AH298" s="73" t="s">
        <v>664</v>
      </c>
      <c r="AI298" s="139" t="s">
        <v>665</v>
      </c>
      <c r="AJ298" s="238">
        <f t="shared" si="106"/>
        <v>0</v>
      </c>
      <c r="AK298" s="238"/>
      <c r="AL298" s="358" t="s">
        <v>664</v>
      </c>
      <c r="AM298" s="48">
        <v>41833.530000000006</v>
      </c>
      <c r="AN298" s="238" t="s">
        <v>664</v>
      </c>
      <c r="AO298" s="238">
        <v>29277.19</v>
      </c>
      <c r="AQ298" s="472">
        <f t="shared" si="107"/>
        <v>0</v>
      </c>
      <c r="AS298" t="s">
        <v>664</v>
      </c>
      <c r="AT298" t="s">
        <v>1917</v>
      </c>
      <c r="AU298" s="48">
        <v>22166.38</v>
      </c>
      <c r="AV298" s="48">
        <v>1262.6400000000001</v>
      </c>
      <c r="AW298" s="48">
        <v>175.75</v>
      </c>
      <c r="AX298" s="48">
        <v>0</v>
      </c>
      <c r="AY298" s="48">
        <v>817.65</v>
      </c>
      <c r="AZ298" s="48">
        <v>1355.14</v>
      </c>
      <c r="BA298" s="48">
        <v>1122.3499999999999</v>
      </c>
      <c r="BB298" s="48">
        <v>778.55</v>
      </c>
      <c r="BC298" s="48">
        <v>0</v>
      </c>
      <c r="BD298" s="48">
        <v>1598.73</v>
      </c>
      <c r="BE298" s="48"/>
      <c r="BF298" s="48">
        <f t="shared" si="118"/>
        <v>29277.19</v>
      </c>
      <c r="BG298" s="48"/>
      <c r="BH298" s="48"/>
      <c r="BI298" s="48" t="str">
        <f t="shared" si="119"/>
        <v>36300</v>
      </c>
      <c r="BJ298" s="48">
        <f t="shared" si="120"/>
        <v>29277.19</v>
      </c>
      <c r="BK298" s="628">
        <f t="shared" si="110"/>
        <v>0</v>
      </c>
    </row>
    <row r="299" spans="1:63">
      <c r="A299" s="196">
        <v>292</v>
      </c>
      <c r="B299" s="73" t="s">
        <v>235</v>
      </c>
      <c r="C299" s="298" t="s">
        <v>236</v>
      </c>
      <c r="D299" s="168">
        <v>1648.6399999999994</v>
      </c>
      <c r="E299" s="170">
        <v>38632.020000000004</v>
      </c>
      <c r="F299" s="171">
        <f t="shared" si="111"/>
        <v>40280.660000000003</v>
      </c>
      <c r="G299" s="181">
        <v>40936.94</v>
      </c>
      <c r="H299" s="178">
        <v>0</v>
      </c>
      <c r="I299" s="170">
        <v>56350.64</v>
      </c>
      <c r="J299" s="171">
        <f t="shared" si="112"/>
        <v>56350.64</v>
      </c>
      <c r="K299" s="202">
        <v>54360.82</v>
      </c>
      <c r="L299" s="171">
        <v>1989.8199999999997</v>
      </c>
      <c r="M299" s="197">
        <v>57592.33</v>
      </c>
      <c r="N299" s="171">
        <f t="shared" si="113"/>
        <v>59582.15</v>
      </c>
      <c r="O299" s="202">
        <v>58790.159999999996</v>
      </c>
      <c r="P299" s="238">
        <v>791.99000000000524</v>
      </c>
      <c r="Q299" s="197">
        <v>64575.170000000006</v>
      </c>
      <c r="R299" s="171">
        <f t="shared" si="114"/>
        <v>65367.160000000011</v>
      </c>
      <c r="S299" s="202">
        <v>0</v>
      </c>
      <c r="T299" s="238">
        <v>65367.160000000011</v>
      </c>
      <c r="U299" s="238">
        <v>61898.04</v>
      </c>
      <c r="V299" s="171">
        <f t="shared" si="115"/>
        <v>127265.20000000001</v>
      </c>
      <c r="W299" s="56">
        <v>72133.41</v>
      </c>
      <c r="X299" s="568">
        <f t="shared" si="103"/>
        <v>55131.790000000008</v>
      </c>
      <c r="Y299" s="569">
        <v>63442.570000000007</v>
      </c>
      <c r="Z299" s="171">
        <f t="shared" si="116"/>
        <v>118574.36000000002</v>
      </c>
      <c r="AA299" s="48">
        <v>68427.540000000008</v>
      </c>
      <c r="AB299" s="238">
        <f t="shared" si="104"/>
        <v>50146.820000000007</v>
      </c>
      <c r="AC299" s="238">
        <v>62826.829999999994</v>
      </c>
      <c r="AD299" s="171">
        <f t="shared" si="117"/>
        <v>112973.65</v>
      </c>
      <c r="AE299" s="238"/>
      <c r="AF299" s="238">
        <f t="shared" si="105"/>
        <v>0</v>
      </c>
      <c r="AG299" s="196">
        <v>292</v>
      </c>
      <c r="AH299" s="73" t="s">
        <v>235</v>
      </c>
      <c r="AI299" s="298" t="s">
        <v>236</v>
      </c>
      <c r="AJ299" s="238">
        <f t="shared" si="106"/>
        <v>0</v>
      </c>
      <c r="AK299" s="238"/>
      <c r="AL299" s="358" t="s">
        <v>235</v>
      </c>
      <c r="AM299" s="48">
        <v>68427.540000000008</v>
      </c>
      <c r="AN299" s="238" t="s">
        <v>235</v>
      </c>
      <c r="AO299" s="238">
        <v>62826.829999999994</v>
      </c>
      <c r="AQ299" s="472">
        <f t="shared" si="107"/>
        <v>0</v>
      </c>
      <c r="AS299" t="s">
        <v>235</v>
      </c>
      <c r="AT299" t="s">
        <v>1697</v>
      </c>
      <c r="AU299" s="48">
        <v>54845.52</v>
      </c>
      <c r="AV299" s="48">
        <v>3380.92</v>
      </c>
      <c r="AW299" s="48">
        <v>1217.93</v>
      </c>
      <c r="AX299" s="48">
        <v>0</v>
      </c>
      <c r="AY299" s="48">
        <v>0</v>
      </c>
      <c r="AZ299" s="48">
        <v>3083.37</v>
      </c>
      <c r="BA299" s="48">
        <v>0</v>
      </c>
      <c r="BB299" s="48">
        <v>0</v>
      </c>
      <c r="BC299" s="48">
        <v>299.08999999999997</v>
      </c>
      <c r="BD299" s="48">
        <v>0</v>
      </c>
      <c r="BE299" s="48"/>
      <c r="BF299" s="48">
        <f t="shared" si="118"/>
        <v>62826.829999999994</v>
      </c>
      <c r="BG299" s="48"/>
      <c r="BH299" s="48"/>
      <c r="BI299" s="48" t="str">
        <f t="shared" si="119"/>
        <v>08130</v>
      </c>
      <c r="BJ299" s="48">
        <f t="shared" si="120"/>
        <v>62826.829999999994</v>
      </c>
      <c r="BK299" s="628">
        <f t="shared" si="110"/>
        <v>0</v>
      </c>
    </row>
    <row r="300" spans="1:63">
      <c r="A300" s="196">
        <v>293</v>
      </c>
      <c r="B300" s="73" t="s">
        <v>402</v>
      </c>
      <c r="C300" s="139" t="s">
        <v>403</v>
      </c>
      <c r="D300" s="168">
        <v>1407.5900000000011</v>
      </c>
      <c r="E300" s="170">
        <v>16345.16</v>
      </c>
      <c r="F300" s="171">
        <f t="shared" si="111"/>
        <v>17752.75</v>
      </c>
      <c r="G300" s="181">
        <v>16801.169999999998</v>
      </c>
      <c r="H300" s="178">
        <v>951.58000000000175</v>
      </c>
      <c r="I300" s="170">
        <v>20732.93</v>
      </c>
      <c r="J300" s="171">
        <f t="shared" si="112"/>
        <v>21684.510000000002</v>
      </c>
      <c r="K300" s="202">
        <v>27991.81</v>
      </c>
      <c r="L300" s="171">
        <v>0</v>
      </c>
      <c r="M300" s="197">
        <v>22530.12</v>
      </c>
      <c r="N300" s="171">
        <f t="shared" si="113"/>
        <v>22530.12</v>
      </c>
      <c r="O300" s="202">
        <v>32217.84</v>
      </c>
      <c r="P300" s="238">
        <v>0</v>
      </c>
      <c r="Q300" s="197">
        <v>24577.98</v>
      </c>
      <c r="R300" s="171">
        <f t="shared" si="114"/>
        <v>24577.98</v>
      </c>
      <c r="S300" s="202">
        <v>29542.21</v>
      </c>
      <c r="T300" s="238">
        <v>0</v>
      </c>
      <c r="U300" s="238">
        <v>26309.289999999997</v>
      </c>
      <c r="V300" s="171">
        <f t="shared" si="115"/>
        <v>26309.289999999997</v>
      </c>
      <c r="W300" s="56">
        <v>26384.76</v>
      </c>
      <c r="X300" s="568">
        <f t="shared" si="103"/>
        <v>0</v>
      </c>
      <c r="Y300" s="569">
        <v>28408.86</v>
      </c>
      <c r="Z300" s="171">
        <f t="shared" si="116"/>
        <v>28408.86</v>
      </c>
      <c r="AA300" s="48">
        <v>29287.529999999992</v>
      </c>
      <c r="AB300" s="238">
        <f t="shared" si="104"/>
        <v>0</v>
      </c>
      <c r="AC300" s="238">
        <v>28135.799999999996</v>
      </c>
      <c r="AD300" s="171">
        <f t="shared" si="117"/>
        <v>28135.799999999996</v>
      </c>
      <c r="AE300" s="238"/>
      <c r="AF300" s="238">
        <f t="shared" si="105"/>
        <v>0</v>
      </c>
      <c r="AG300" s="196">
        <v>293</v>
      </c>
      <c r="AH300" s="73" t="s">
        <v>402</v>
      </c>
      <c r="AI300" s="139" t="s">
        <v>403</v>
      </c>
      <c r="AJ300" s="238">
        <f t="shared" si="106"/>
        <v>0</v>
      </c>
      <c r="AK300" s="238"/>
      <c r="AL300" s="358" t="s">
        <v>402</v>
      </c>
      <c r="AM300" s="48">
        <v>29287.529999999992</v>
      </c>
      <c r="AN300" s="238" t="s">
        <v>402</v>
      </c>
      <c r="AO300" s="238">
        <v>28135.799999999996</v>
      </c>
      <c r="AQ300" s="472">
        <f t="shared" si="107"/>
        <v>0</v>
      </c>
      <c r="AS300" t="s">
        <v>402</v>
      </c>
      <c r="AT300" t="s">
        <v>1784</v>
      </c>
      <c r="AU300" s="48">
        <v>26728.240000000002</v>
      </c>
      <c r="AV300" s="48">
        <v>229.71</v>
      </c>
      <c r="AW300" s="48">
        <v>0</v>
      </c>
      <c r="AX300" s="48">
        <v>0</v>
      </c>
      <c r="AY300" s="48">
        <v>0</v>
      </c>
      <c r="AZ300" s="48">
        <v>823.26</v>
      </c>
      <c r="BA300" s="48">
        <v>0</v>
      </c>
      <c r="BB300" s="48">
        <v>265.17</v>
      </c>
      <c r="BC300" s="48">
        <v>89.42</v>
      </c>
      <c r="BD300" s="48">
        <v>0</v>
      </c>
      <c r="BE300" s="48"/>
      <c r="BF300" s="48">
        <f t="shared" si="118"/>
        <v>28135.799999999996</v>
      </c>
      <c r="BG300" s="48"/>
      <c r="BH300" s="48"/>
      <c r="BI300" s="48" t="str">
        <f t="shared" si="119"/>
        <v>20400</v>
      </c>
      <c r="BJ300" s="48">
        <f t="shared" si="120"/>
        <v>28135.799999999996</v>
      </c>
      <c r="BK300" s="628">
        <f t="shared" si="110"/>
        <v>0</v>
      </c>
    </row>
    <row r="301" spans="1:63">
      <c r="A301" s="196">
        <v>294</v>
      </c>
      <c r="B301" s="73" t="s">
        <v>356</v>
      </c>
      <c r="C301" s="139" t="s">
        <v>357</v>
      </c>
      <c r="D301" s="168">
        <v>0</v>
      </c>
      <c r="E301" s="170">
        <v>224856.79</v>
      </c>
      <c r="F301" s="171">
        <f t="shared" si="111"/>
        <v>224856.79</v>
      </c>
      <c r="G301" s="181">
        <v>63176.17</v>
      </c>
      <c r="H301" s="178">
        <v>161680.62</v>
      </c>
      <c r="I301" s="170">
        <v>326482.44</v>
      </c>
      <c r="J301" s="171">
        <f t="shared" si="112"/>
        <v>488163.06</v>
      </c>
      <c r="K301" s="202">
        <v>8259.7199999999993</v>
      </c>
      <c r="L301" s="171">
        <v>479903.34</v>
      </c>
      <c r="M301" s="197">
        <v>312496.59999999998</v>
      </c>
      <c r="N301" s="171">
        <f t="shared" si="113"/>
        <v>792399.94</v>
      </c>
      <c r="O301" s="202">
        <v>53369.82</v>
      </c>
      <c r="P301" s="238">
        <v>739030.12</v>
      </c>
      <c r="Q301" s="197">
        <v>338246.55000000005</v>
      </c>
      <c r="R301" s="171">
        <f t="shared" si="114"/>
        <v>1077276.67</v>
      </c>
      <c r="S301" s="202">
        <v>414346.97</v>
      </c>
      <c r="T301" s="238">
        <v>662929.69999999995</v>
      </c>
      <c r="U301" s="238">
        <v>376085.78</v>
      </c>
      <c r="V301" s="171">
        <f t="shared" si="115"/>
        <v>1039015.48</v>
      </c>
      <c r="W301" s="56">
        <v>500425.05999999988</v>
      </c>
      <c r="X301" s="568">
        <f t="shared" si="103"/>
        <v>538590.42000000016</v>
      </c>
      <c r="Y301" s="569">
        <v>400472.21000000008</v>
      </c>
      <c r="Z301" s="171">
        <f t="shared" si="116"/>
        <v>939062.63000000024</v>
      </c>
      <c r="AA301" s="48">
        <v>883349.68000000017</v>
      </c>
      <c r="AB301" s="238">
        <f t="shared" si="104"/>
        <v>55712.95000000007</v>
      </c>
      <c r="AC301" s="238">
        <v>384252.48999999993</v>
      </c>
      <c r="AD301" s="171">
        <f t="shared" si="117"/>
        <v>439965.44</v>
      </c>
      <c r="AE301" s="238"/>
      <c r="AF301" s="238">
        <f t="shared" si="105"/>
        <v>0</v>
      </c>
      <c r="AG301" s="196">
        <v>294</v>
      </c>
      <c r="AH301" s="73" t="s">
        <v>356</v>
      </c>
      <c r="AI301" s="139" t="s">
        <v>357</v>
      </c>
      <c r="AJ301" s="238">
        <f t="shared" si="106"/>
        <v>0</v>
      </c>
      <c r="AK301" s="238"/>
      <c r="AL301" s="358" t="s">
        <v>356</v>
      </c>
      <c r="AM301" s="48">
        <v>883349.68000000017</v>
      </c>
      <c r="AN301" s="238" t="s">
        <v>356</v>
      </c>
      <c r="AO301" s="238">
        <v>384252.48999999993</v>
      </c>
      <c r="AQ301" s="472">
        <f t="shared" si="107"/>
        <v>0</v>
      </c>
      <c r="AS301" t="s">
        <v>356</v>
      </c>
      <c r="AT301" t="s">
        <v>1758</v>
      </c>
      <c r="AU301" s="48">
        <v>246720.51</v>
      </c>
      <c r="AV301" s="48">
        <v>18606.68</v>
      </c>
      <c r="AW301" s="48">
        <v>2062.9699999999998</v>
      </c>
      <c r="AX301" s="48">
        <v>0</v>
      </c>
      <c r="AY301" s="48">
        <v>38928.19</v>
      </c>
      <c r="AZ301" s="48">
        <v>24124.29</v>
      </c>
      <c r="BA301" s="48">
        <v>14777.29</v>
      </c>
      <c r="BB301" s="48">
        <v>37659.07</v>
      </c>
      <c r="BC301" s="48">
        <v>1373.49</v>
      </c>
      <c r="BD301" s="48">
        <v>0</v>
      </c>
      <c r="BE301" s="48"/>
      <c r="BF301" s="48">
        <f t="shared" si="118"/>
        <v>384252.48999999993</v>
      </c>
      <c r="BG301" s="48"/>
      <c r="BH301" s="48"/>
      <c r="BI301" s="48" t="str">
        <f t="shared" si="119"/>
        <v>17406</v>
      </c>
      <c r="BJ301" s="48">
        <f t="shared" si="120"/>
        <v>384252.48999999993</v>
      </c>
      <c r="BK301" s="628">
        <f t="shared" si="110"/>
        <v>0</v>
      </c>
    </row>
    <row r="302" spans="1:63">
      <c r="A302" s="196">
        <v>295</v>
      </c>
      <c r="B302" s="73" t="s">
        <v>644</v>
      </c>
      <c r="C302" s="139" t="s">
        <v>645</v>
      </c>
      <c r="D302" s="168">
        <v>25119.209999999992</v>
      </c>
      <c r="E302" s="170">
        <v>392131.47</v>
      </c>
      <c r="F302" s="171">
        <f t="shared" si="111"/>
        <v>417250.67999999993</v>
      </c>
      <c r="G302" s="181">
        <v>284922.83</v>
      </c>
      <c r="H302" s="178">
        <v>132327.84999999992</v>
      </c>
      <c r="I302" s="170">
        <v>549906</v>
      </c>
      <c r="J302" s="171">
        <f t="shared" si="112"/>
        <v>682233.84999999986</v>
      </c>
      <c r="K302" s="202">
        <v>535671.65</v>
      </c>
      <c r="L302" s="171">
        <v>146562.19999999984</v>
      </c>
      <c r="M302" s="197">
        <v>567349.7300000001</v>
      </c>
      <c r="N302" s="171">
        <f t="shared" si="113"/>
        <v>713911.92999999993</v>
      </c>
      <c r="O302" s="202">
        <v>332537.39</v>
      </c>
      <c r="P302" s="238">
        <v>381374.53999999992</v>
      </c>
      <c r="Q302" s="197">
        <v>622898.16</v>
      </c>
      <c r="R302" s="171">
        <f t="shared" si="114"/>
        <v>1004272.7</v>
      </c>
      <c r="S302" s="202">
        <v>742918.81</v>
      </c>
      <c r="T302" s="238">
        <v>261353.8899999999</v>
      </c>
      <c r="U302" s="238">
        <v>639307.03</v>
      </c>
      <c r="V302" s="171">
        <f t="shared" si="115"/>
        <v>900660.91999999993</v>
      </c>
      <c r="W302" s="56">
        <v>601085.84</v>
      </c>
      <c r="X302" s="568">
        <f t="shared" si="103"/>
        <v>299575.07999999996</v>
      </c>
      <c r="Y302" s="569">
        <v>689840.96000000008</v>
      </c>
      <c r="Z302" s="171">
        <f t="shared" si="116"/>
        <v>989416.04</v>
      </c>
      <c r="AA302" s="48">
        <v>801652.92999999993</v>
      </c>
      <c r="AB302" s="238">
        <f t="shared" si="104"/>
        <v>187763.1100000001</v>
      </c>
      <c r="AC302" s="238">
        <v>674307.49999999988</v>
      </c>
      <c r="AD302" s="171">
        <f t="shared" si="117"/>
        <v>862070.61</v>
      </c>
      <c r="AE302" s="238"/>
      <c r="AF302" s="238">
        <f t="shared" si="105"/>
        <v>0</v>
      </c>
      <c r="AG302" s="196">
        <v>295</v>
      </c>
      <c r="AH302" s="73" t="s">
        <v>644</v>
      </c>
      <c r="AI302" s="139" t="s">
        <v>645</v>
      </c>
      <c r="AJ302" s="238">
        <f t="shared" si="106"/>
        <v>0</v>
      </c>
      <c r="AK302" s="238"/>
      <c r="AL302" s="358" t="s">
        <v>644</v>
      </c>
      <c r="AM302" s="48">
        <v>801652.92999999993</v>
      </c>
      <c r="AN302" s="238" t="s">
        <v>644</v>
      </c>
      <c r="AO302" s="238">
        <v>674307.49999999988</v>
      </c>
      <c r="AQ302" s="472">
        <f t="shared" si="107"/>
        <v>0</v>
      </c>
      <c r="AS302" t="s">
        <v>644</v>
      </c>
      <c r="AT302" t="s">
        <v>1906</v>
      </c>
      <c r="AU302" s="48">
        <v>445892.98</v>
      </c>
      <c r="AV302" s="48">
        <v>34095.96</v>
      </c>
      <c r="AW302" s="48">
        <v>16984.77</v>
      </c>
      <c r="AX302" s="48">
        <v>66411.259999999995</v>
      </c>
      <c r="AY302" s="48">
        <v>79106.720000000001</v>
      </c>
      <c r="AZ302" s="48">
        <v>21925.88</v>
      </c>
      <c r="BA302" s="48">
        <v>721.51</v>
      </c>
      <c r="BB302" s="48">
        <v>4330.6000000000004</v>
      </c>
      <c r="BC302" s="48">
        <v>2963.12</v>
      </c>
      <c r="BD302" s="48">
        <v>1874.7</v>
      </c>
      <c r="BE302" s="48"/>
      <c r="BF302" s="48">
        <f t="shared" si="118"/>
        <v>674307.49999999988</v>
      </c>
      <c r="BG302" s="48"/>
      <c r="BH302" s="48"/>
      <c r="BI302" s="48" t="str">
        <f t="shared" si="119"/>
        <v>34033</v>
      </c>
      <c r="BJ302" s="48">
        <f t="shared" si="120"/>
        <v>674307.49999999988</v>
      </c>
      <c r="BK302" s="628">
        <f t="shared" si="110"/>
        <v>0</v>
      </c>
    </row>
    <row r="303" spans="1:63">
      <c r="A303" s="196">
        <v>296</v>
      </c>
      <c r="B303" s="73" t="s">
        <v>711</v>
      </c>
      <c r="C303" s="139" t="s">
        <v>712</v>
      </c>
      <c r="D303" s="168">
        <v>1803.0400000000009</v>
      </c>
      <c r="E303" s="170">
        <v>42687.25</v>
      </c>
      <c r="F303" s="171">
        <f t="shared" si="111"/>
        <v>44490.29</v>
      </c>
      <c r="G303" s="181">
        <v>40928.46</v>
      </c>
      <c r="H303" s="178">
        <v>3561.8300000000017</v>
      </c>
      <c r="I303" s="170">
        <v>62841.07</v>
      </c>
      <c r="J303" s="171">
        <f t="shared" si="112"/>
        <v>66402.899999999994</v>
      </c>
      <c r="K303" s="202">
        <v>53023.44</v>
      </c>
      <c r="L303" s="171">
        <v>13379.459999999992</v>
      </c>
      <c r="M303" s="197">
        <v>63930.51</v>
      </c>
      <c r="N303" s="171">
        <f t="shared" si="113"/>
        <v>77309.97</v>
      </c>
      <c r="O303" s="202">
        <v>53013.619999999995</v>
      </c>
      <c r="P303" s="238">
        <v>24296.350000000006</v>
      </c>
      <c r="Q303" s="197">
        <v>67429.75</v>
      </c>
      <c r="R303" s="171">
        <f t="shared" si="114"/>
        <v>91726.1</v>
      </c>
      <c r="S303" s="202">
        <v>49791.01</v>
      </c>
      <c r="T303" s="238">
        <v>41935.090000000004</v>
      </c>
      <c r="U303" s="238">
        <v>65681.7</v>
      </c>
      <c r="V303" s="171">
        <f t="shared" si="115"/>
        <v>107616.79000000001</v>
      </c>
      <c r="W303" s="56">
        <v>64722.21</v>
      </c>
      <c r="X303" s="568">
        <f t="shared" si="103"/>
        <v>42894.580000000009</v>
      </c>
      <c r="Y303" s="569">
        <v>67019.83</v>
      </c>
      <c r="Z303" s="171">
        <f t="shared" si="116"/>
        <v>109914.41</v>
      </c>
      <c r="AA303" s="48">
        <v>81479.979999999952</v>
      </c>
      <c r="AB303" s="238">
        <f t="shared" si="104"/>
        <v>28434.430000000051</v>
      </c>
      <c r="AC303" s="238">
        <v>67728.690000000017</v>
      </c>
      <c r="AD303" s="171">
        <f t="shared" si="117"/>
        <v>96163.120000000068</v>
      </c>
      <c r="AE303" s="238"/>
      <c r="AF303" s="238">
        <f t="shared" si="105"/>
        <v>0</v>
      </c>
      <c r="AG303" s="196">
        <v>296</v>
      </c>
      <c r="AH303" s="73" t="s">
        <v>711</v>
      </c>
      <c r="AI303" s="139" t="s">
        <v>712</v>
      </c>
      <c r="AJ303" s="238">
        <f t="shared" si="106"/>
        <v>0</v>
      </c>
      <c r="AK303" s="238"/>
      <c r="AL303" s="358" t="s">
        <v>711</v>
      </c>
      <c r="AM303" s="48">
        <v>81479.979999999952</v>
      </c>
      <c r="AN303" s="238" t="s">
        <v>711</v>
      </c>
      <c r="AO303" s="238">
        <v>67728.690000000017</v>
      </c>
      <c r="AQ303" s="472">
        <f t="shared" si="107"/>
        <v>0</v>
      </c>
      <c r="AS303" t="s">
        <v>711</v>
      </c>
      <c r="AT303" t="s">
        <v>1942</v>
      </c>
      <c r="AU303" s="48">
        <v>46597.51</v>
      </c>
      <c r="AV303" s="48">
        <v>0</v>
      </c>
      <c r="AW303" s="48">
        <v>0</v>
      </c>
      <c r="AX303" s="48">
        <v>0</v>
      </c>
      <c r="AY303" s="48">
        <v>9676.4500000000007</v>
      </c>
      <c r="AZ303" s="48">
        <v>4700.6099999999997</v>
      </c>
      <c r="BA303" s="48">
        <v>2442.0300000000002</v>
      </c>
      <c r="BB303" s="48">
        <v>2369.5700000000002</v>
      </c>
      <c r="BC303" s="48">
        <v>0</v>
      </c>
      <c r="BD303" s="48">
        <v>1942.52</v>
      </c>
      <c r="BE303" s="48"/>
      <c r="BF303" s="48">
        <f t="shared" si="118"/>
        <v>67728.690000000017</v>
      </c>
      <c r="BG303" s="48"/>
      <c r="BH303" s="48"/>
      <c r="BI303" s="48" t="str">
        <f t="shared" si="119"/>
        <v>39002</v>
      </c>
      <c r="BJ303" s="48">
        <f t="shared" si="120"/>
        <v>67728.690000000017</v>
      </c>
      <c r="BK303" s="628">
        <f t="shared" si="110"/>
        <v>0</v>
      </c>
    </row>
    <row r="304" spans="1:63">
      <c r="A304" s="196">
        <v>297</v>
      </c>
      <c r="B304" s="73" t="s">
        <v>513</v>
      </c>
      <c r="C304" s="139" t="s">
        <v>514</v>
      </c>
      <c r="D304" s="168">
        <v>0</v>
      </c>
      <c r="E304" s="170">
        <v>355644.65999999992</v>
      </c>
      <c r="F304" s="171">
        <f t="shared" si="111"/>
        <v>355644.65999999992</v>
      </c>
      <c r="G304" s="181">
        <v>355644.66</v>
      </c>
      <c r="H304" s="178">
        <v>0</v>
      </c>
      <c r="I304" s="170">
        <v>524442.17000000004</v>
      </c>
      <c r="J304" s="171">
        <f t="shared" si="112"/>
        <v>524442.17000000004</v>
      </c>
      <c r="K304" s="202">
        <v>544257.03000000014</v>
      </c>
      <c r="L304" s="171">
        <v>0</v>
      </c>
      <c r="M304" s="197">
        <v>522394.88999999996</v>
      </c>
      <c r="N304" s="171">
        <f t="shared" si="113"/>
        <v>522394.88999999996</v>
      </c>
      <c r="O304" s="202">
        <v>536976.64999999991</v>
      </c>
      <c r="P304" s="238">
        <v>0</v>
      </c>
      <c r="Q304" s="197">
        <v>560815.62</v>
      </c>
      <c r="R304" s="171">
        <f t="shared" si="114"/>
        <v>560815.62</v>
      </c>
      <c r="S304" s="202">
        <v>548886.03999999992</v>
      </c>
      <c r="T304" s="238">
        <v>11929.580000000075</v>
      </c>
      <c r="U304" s="238">
        <v>565878.38</v>
      </c>
      <c r="V304" s="171">
        <f t="shared" si="115"/>
        <v>577807.96000000008</v>
      </c>
      <c r="W304" s="56">
        <v>569531.75999999978</v>
      </c>
      <c r="X304" s="568">
        <f t="shared" si="103"/>
        <v>8276.2000000003027</v>
      </c>
      <c r="Y304" s="569">
        <v>610398.31000000006</v>
      </c>
      <c r="Z304" s="171">
        <f t="shared" si="116"/>
        <v>618674.51000000036</v>
      </c>
      <c r="AA304" s="48">
        <v>590842.78</v>
      </c>
      <c r="AB304" s="238">
        <f t="shared" si="104"/>
        <v>27831.730000000331</v>
      </c>
      <c r="AC304" s="238">
        <v>613736.21</v>
      </c>
      <c r="AD304" s="171">
        <f t="shared" si="117"/>
        <v>641567.94000000029</v>
      </c>
      <c r="AE304" s="238"/>
      <c r="AF304" s="238">
        <f t="shared" si="105"/>
        <v>0</v>
      </c>
      <c r="AG304" s="196">
        <v>297</v>
      </c>
      <c r="AH304" s="73" t="s">
        <v>513</v>
      </c>
      <c r="AI304" s="139" t="s">
        <v>514</v>
      </c>
      <c r="AJ304" s="238">
        <f t="shared" si="106"/>
        <v>0</v>
      </c>
      <c r="AK304" s="238"/>
      <c r="AL304" s="358" t="s">
        <v>513</v>
      </c>
      <c r="AM304" s="48">
        <v>590842.78</v>
      </c>
      <c r="AN304" s="238" t="s">
        <v>513</v>
      </c>
      <c r="AO304" s="238">
        <v>613736.21</v>
      </c>
      <c r="AQ304" s="472">
        <f t="shared" si="107"/>
        <v>0</v>
      </c>
      <c r="AS304" t="s">
        <v>513</v>
      </c>
      <c r="AT304" t="s">
        <v>1839</v>
      </c>
      <c r="AU304" s="48">
        <v>492145.91</v>
      </c>
      <c r="AV304" s="48">
        <v>25856.720000000001</v>
      </c>
      <c r="AW304" s="48">
        <v>0</v>
      </c>
      <c r="AX304" s="48">
        <v>0</v>
      </c>
      <c r="AY304" s="48">
        <v>52116.160000000003</v>
      </c>
      <c r="AZ304" s="48">
        <v>23338.37</v>
      </c>
      <c r="BA304" s="48">
        <v>0</v>
      </c>
      <c r="BB304" s="48">
        <v>12693.48</v>
      </c>
      <c r="BC304" s="48">
        <v>2715.07</v>
      </c>
      <c r="BD304" s="48">
        <v>4870.5</v>
      </c>
      <c r="BE304" s="48"/>
      <c r="BF304" s="48">
        <f t="shared" si="118"/>
        <v>613736.21</v>
      </c>
      <c r="BG304" s="48"/>
      <c r="BH304" s="48"/>
      <c r="BI304" s="48" t="str">
        <f t="shared" si="119"/>
        <v>27083</v>
      </c>
      <c r="BJ304" s="48">
        <f t="shared" si="120"/>
        <v>613736.21</v>
      </c>
      <c r="BK304" s="628">
        <f t="shared" si="110"/>
        <v>0</v>
      </c>
    </row>
    <row r="305" spans="1:63">
      <c r="A305" s="196">
        <v>298</v>
      </c>
      <c r="B305" s="73" t="s">
        <v>624</v>
      </c>
      <c r="C305" s="139" t="s">
        <v>625</v>
      </c>
      <c r="D305" s="168">
        <v>0</v>
      </c>
      <c r="E305" s="170">
        <v>26602.999999999996</v>
      </c>
      <c r="F305" s="171">
        <f t="shared" si="111"/>
        <v>26602.999999999996</v>
      </c>
      <c r="G305" s="181">
        <v>27694.25</v>
      </c>
      <c r="H305" s="178">
        <v>0</v>
      </c>
      <c r="I305" s="170">
        <v>36955.919999999998</v>
      </c>
      <c r="J305" s="171">
        <f t="shared" si="112"/>
        <v>36955.919999999998</v>
      </c>
      <c r="K305" s="202">
        <v>36757.43</v>
      </c>
      <c r="L305" s="171">
        <v>198.48999999999796</v>
      </c>
      <c r="M305" s="197">
        <v>39785.179999999993</v>
      </c>
      <c r="N305" s="171">
        <f t="shared" si="113"/>
        <v>39983.669999999991</v>
      </c>
      <c r="O305" s="202">
        <v>37876.479999999996</v>
      </c>
      <c r="P305" s="238">
        <v>2107.1899999999951</v>
      </c>
      <c r="Q305" s="197">
        <v>43134.21</v>
      </c>
      <c r="R305" s="171">
        <f t="shared" si="114"/>
        <v>45241.399999999994</v>
      </c>
      <c r="S305" s="202">
        <v>41121.129999999997</v>
      </c>
      <c r="T305" s="238">
        <v>4120.2699999999968</v>
      </c>
      <c r="U305" s="238">
        <v>42134.1</v>
      </c>
      <c r="V305" s="171">
        <f t="shared" si="115"/>
        <v>46254.369999999995</v>
      </c>
      <c r="W305" s="56">
        <v>42935.31</v>
      </c>
      <c r="X305" s="568">
        <f t="shared" si="103"/>
        <v>3319.0599999999977</v>
      </c>
      <c r="Y305" s="569">
        <v>46375.5</v>
      </c>
      <c r="Z305" s="171">
        <f t="shared" si="116"/>
        <v>49694.559999999998</v>
      </c>
      <c r="AA305" s="48">
        <v>42218.989999999983</v>
      </c>
      <c r="AB305" s="238">
        <f t="shared" si="104"/>
        <v>7475.5700000000143</v>
      </c>
      <c r="AC305" s="238">
        <v>49116.460000000006</v>
      </c>
      <c r="AD305" s="171">
        <f t="shared" si="117"/>
        <v>56592.030000000021</v>
      </c>
      <c r="AE305" s="238"/>
      <c r="AF305" s="238">
        <f t="shared" si="105"/>
        <v>0</v>
      </c>
      <c r="AG305" s="196">
        <v>298</v>
      </c>
      <c r="AH305" s="73" t="s">
        <v>624</v>
      </c>
      <c r="AI305" s="139" t="s">
        <v>625</v>
      </c>
      <c r="AJ305" s="238">
        <f t="shared" si="106"/>
        <v>0</v>
      </c>
      <c r="AK305" s="238"/>
      <c r="AL305" s="358" t="s">
        <v>624</v>
      </c>
      <c r="AM305" s="48">
        <v>42218.989999999983</v>
      </c>
      <c r="AN305" s="238" t="s">
        <v>624</v>
      </c>
      <c r="AO305" s="238">
        <v>49116.460000000006</v>
      </c>
      <c r="AQ305" s="472">
        <f t="shared" si="107"/>
        <v>0</v>
      </c>
      <c r="AS305" t="s">
        <v>624</v>
      </c>
      <c r="AT305" t="s">
        <v>1895</v>
      </c>
      <c r="AU305" s="48">
        <v>31684.76</v>
      </c>
      <c r="AV305" s="48">
        <v>0</v>
      </c>
      <c r="AW305" s="48">
        <v>0</v>
      </c>
      <c r="AX305" s="48">
        <v>0</v>
      </c>
      <c r="AY305" s="48">
        <v>10911.91</v>
      </c>
      <c r="AZ305" s="48">
        <v>2479.04</v>
      </c>
      <c r="BA305" s="48">
        <v>889.55</v>
      </c>
      <c r="BB305" s="48">
        <v>1119.26</v>
      </c>
      <c r="BC305" s="48">
        <v>433.21</v>
      </c>
      <c r="BD305" s="48">
        <v>1598.73</v>
      </c>
      <c r="BE305" s="48"/>
      <c r="BF305" s="48">
        <f t="shared" si="118"/>
        <v>49116.460000000006</v>
      </c>
      <c r="BG305" s="48"/>
      <c r="BH305" s="48"/>
      <c r="BI305" s="48" t="str">
        <f t="shared" si="119"/>
        <v>33070</v>
      </c>
      <c r="BJ305" s="48">
        <f t="shared" si="120"/>
        <v>49116.460000000006</v>
      </c>
      <c r="BK305" s="628">
        <f t="shared" si="110"/>
        <v>0</v>
      </c>
    </row>
    <row r="306" spans="1:63">
      <c r="A306" s="196">
        <v>299</v>
      </c>
      <c r="B306" s="73" t="s">
        <v>213</v>
      </c>
      <c r="C306" s="139" t="s">
        <v>214</v>
      </c>
      <c r="D306" s="168">
        <v>8620.8999999999069</v>
      </c>
      <c r="E306" s="170">
        <v>1515108.04</v>
      </c>
      <c r="F306" s="171">
        <f t="shared" si="111"/>
        <v>1523728.94</v>
      </c>
      <c r="G306" s="181">
        <v>1462996.81</v>
      </c>
      <c r="H306" s="178">
        <v>60732.129999999888</v>
      </c>
      <c r="I306" s="170">
        <v>2124159.9900000002</v>
      </c>
      <c r="J306" s="171">
        <f t="shared" si="112"/>
        <v>2184892.12</v>
      </c>
      <c r="K306" s="202">
        <v>2121293.8700000006</v>
      </c>
      <c r="L306" s="171">
        <v>63598.249999999534</v>
      </c>
      <c r="M306" s="197">
        <v>2092244.18</v>
      </c>
      <c r="N306" s="171">
        <f t="shared" si="113"/>
        <v>2155842.4299999997</v>
      </c>
      <c r="O306" s="202">
        <v>2226945.56</v>
      </c>
      <c r="P306" s="238">
        <v>0</v>
      </c>
      <c r="Q306" s="197">
        <v>2320771.23</v>
      </c>
      <c r="R306" s="171">
        <f t="shared" si="114"/>
        <v>2320771.23</v>
      </c>
      <c r="S306" s="202">
        <v>2417684.37</v>
      </c>
      <c r="T306" s="238">
        <v>0</v>
      </c>
      <c r="U306" s="238">
        <v>2404373.1599999997</v>
      </c>
      <c r="V306" s="171">
        <f t="shared" si="115"/>
        <v>2404373.1599999997</v>
      </c>
      <c r="W306" s="56">
        <v>2427015.4799999977</v>
      </c>
      <c r="X306" s="568">
        <f t="shared" si="103"/>
        <v>0</v>
      </c>
      <c r="Y306" s="569">
        <v>2526171.3799999994</v>
      </c>
      <c r="Z306" s="171">
        <f t="shared" si="116"/>
        <v>2526171.3799999994</v>
      </c>
      <c r="AA306" s="48">
        <v>2526171.3800000004</v>
      </c>
      <c r="AB306" s="238">
        <f t="shared" si="104"/>
        <v>0</v>
      </c>
      <c r="AC306" s="238">
        <v>2451684</v>
      </c>
      <c r="AD306" s="171">
        <f t="shared" si="117"/>
        <v>2451684</v>
      </c>
      <c r="AE306" s="238"/>
      <c r="AF306" s="238">
        <f t="shared" si="105"/>
        <v>0</v>
      </c>
      <c r="AG306" s="196">
        <v>299</v>
      </c>
      <c r="AH306" s="73" t="s">
        <v>213</v>
      </c>
      <c r="AI306" s="139" t="s">
        <v>214</v>
      </c>
      <c r="AJ306" s="238">
        <f t="shared" si="106"/>
        <v>0</v>
      </c>
      <c r="AK306" s="238"/>
      <c r="AL306" s="358" t="s">
        <v>213</v>
      </c>
      <c r="AM306" s="48">
        <v>2526171.3800000004</v>
      </c>
      <c r="AN306" s="238" t="s">
        <v>213</v>
      </c>
      <c r="AO306" s="238">
        <v>2451684</v>
      </c>
      <c r="AQ306" s="472">
        <f t="shared" si="107"/>
        <v>0</v>
      </c>
      <c r="AS306" t="s">
        <v>213</v>
      </c>
      <c r="AT306" t="s">
        <v>1685</v>
      </c>
      <c r="AU306" s="48">
        <v>1622886.52</v>
      </c>
      <c r="AV306" s="48">
        <v>145249.94</v>
      </c>
      <c r="AW306" s="48">
        <v>27676.61</v>
      </c>
      <c r="AX306" s="48">
        <v>0</v>
      </c>
      <c r="AY306" s="48">
        <v>351418.33</v>
      </c>
      <c r="AZ306" s="48">
        <v>109804.4</v>
      </c>
      <c r="BA306" s="48">
        <v>58178.75</v>
      </c>
      <c r="BB306" s="48">
        <v>97685.25</v>
      </c>
      <c r="BC306" s="48">
        <v>9563.27</v>
      </c>
      <c r="BD306" s="48">
        <v>29220.93</v>
      </c>
      <c r="BE306" s="48"/>
      <c r="BF306" s="48">
        <f t="shared" si="118"/>
        <v>2451684</v>
      </c>
      <c r="BG306" s="48"/>
      <c r="BH306" s="48"/>
      <c r="BI306" s="48" t="str">
        <f t="shared" si="119"/>
        <v>06037</v>
      </c>
      <c r="BJ306" s="48">
        <f t="shared" si="120"/>
        <v>2451684</v>
      </c>
      <c r="BK306" s="628">
        <f t="shared" si="110"/>
        <v>0</v>
      </c>
    </row>
    <row r="307" spans="1:63">
      <c r="A307" s="196">
        <v>300</v>
      </c>
      <c r="B307" s="73" t="s">
        <v>348</v>
      </c>
      <c r="C307" s="139" t="s">
        <v>349</v>
      </c>
      <c r="D307" s="168">
        <v>9024.6100000000079</v>
      </c>
      <c r="E307" s="170">
        <v>90809.239999999991</v>
      </c>
      <c r="F307" s="171">
        <f t="shared" si="111"/>
        <v>99833.85</v>
      </c>
      <c r="G307" s="181">
        <v>76749.97</v>
      </c>
      <c r="H307" s="178">
        <v>23083.880000000005</v>
      </c>
      <c r="I307" s="170">
        <v>127677.86</v>
      </c>
      <c r="J307" s="171">
        <f t="shared" si="112"/>
        <v>150761.74</v>
      </c>
      <c r="K307" s="202">
        <v>141640.62</v>
      </c>
      <c r="L307" s="171">
        <v>9121.1199999999953</v>
      </c>
      <c r="M307" s="197">
        <v>129954</v>
      </c>
      <c r="N307" s="171">
        <f t="shared" si="113"/>
        <v>139075.12</v>
      </c>
      <c r="O307" s="202">
        <v>139983.87</v>
      </c>
      <c r="P307" s="238">
        <v>0</v>
      </c>
      <c r="Q307" s="197">
        <v>143000.65</v>
      </c>
      <c r="R307" s="171">
        <f t="shared" si="114"/>
        <v>143000.65</v>
      </c>
      <c r="S307" s="202">
        <v>170951.99000000002</v>
      </c>
      <c r="T307" s="238">
        <v>0</v>
      </c>
      <c r="U307" s="238">
        <v>148313.4</v>
      </c>
      <c r="V307" s="171">
        <f t="shared" si="115"/>
        <v>148313.4</v>
      </c>
      <c r="W307" s="56">
        <v>148313.4</v>
      </c>
      <c r="X307" s="568">
        <f t="shared" si="103"/>
        <v>0</v>
      </c>
      <c r="Y307" s="569">
        <v>156175.22</v>
      </c>
      <c r="Z307" s="171">
        <f t="shared" si="116"/>
        <v>156175.22</v>
      </c>
      <c r="AA307" s="48">
        <v>151158.28</v>
      </c>
      <c r="AB307" s="238">
        <f t="shared" si="104"/>
        <v>5016.9400000000023</v>
      </c>
      <c r="AC307" s="238">
        <v>150204.97</v>
      </c>
      <c r="AD307" s="171">
        <f t="shared" si="117"/>
        <v>155221.91</v>
      </c>
      <c r="AE307" s="238"/>
      <c r="AF307" s="238">
        <f t="shared" si="105"/>
        <v>0</v>
      </c>
      <c r="AG307" s="196">
        <v>300</v>
      </c>
      <c r="AH307" s="73" t="s">
        <v>348</v>
      </c>
      <c r="AI307" s="139" t="s">
        <v>349</v>
      </c>
      <c r="AJ307" s="238">
        <f t="shared" si="106"/>
        <v>0</v>
      </c>
      <c r="AK307" s="238"/>
      <c r="AL307" s="358" t="s">
        <v>348</v>
      </c>
      <c r="AM307" s="48">
        <v>151158.28</v>
      </c>
      <c r="AN307" s="238" t="s">
        <v>348</v>
      </c>
      <c r="AO307" s="238">
        <v>150204.97</v>
      </c>
      <c r="AQ307" s="472">
        <f t="shared" si="107"/>
        <v>0</v>
      </c>
      <c r="AS307" t="s">
        <v>348</v>
      </c>
      <c r="AT307" t="s">
        <v>1754</v>
      </c>
      <c r="AU307" s="48">
        <v>110273.69</v>
      </c>
      <c r="AV307" s="48">
        <v>6538.24</v>
      </c>
      <c r="AW307" s="48">
        <v>4259.8599999999997</v>
      </c>
      <c r="AX307" s="48">
        <v>0</v>
      </c>
      <c r="AY307" s="48">
        <v>21110.6</v>
      </c>
      <c r="AZ307" s="48">
        <v>4431.55</v>
      </c>
      <c r="BA307" s="48">
        <v>268.26</v>
      </c>
      <c r="BB307" s="48">
        <v>2625.31</v>
      </c>
      <c r="BC307" s="48">
        <v>697.46</v>
      </c>
      <c r="BD307" s="48">
        <v>0</v>
      </c>
      <c r="BE307" s="48"/>
      <c r="BF307" s="48">
        <f t="shared" si="118"/>
        <v>150204.97</v>
      </c>
      <c r="BG307" s="48"/>
      <c r="BH307" s="48"/>
      <c r="BI307" s="48" t="str">
        <f t="shared" si="119"/>
        <v>17402</v>
      </c>
      <c r="BJ307" s="48">
        <f t="shared" si="120"/>
        <v>150204.97</v>
      </c>
      <c r="BK307" s="628">
        <f t="shared" si="110"/>
        <v>0</v>
      </c>
    </row>
    <row r="308" spans="1:63">
      <c r="A308" s="196">
        <v>301</v>
      </c>
      <c r="B308" s="73" t="s">
        <v>1503</v>
      </c>
      <c r="C308" t="s">
        <v>1502</v>
      </c>
      <c r="D308" s="168">
        <v>4163.24</v>
      </c>
      <c r="E308" s="170">
        <v>9902.23</v>
      </c>
      <c r="F308" s="171">
        <f t="shared" si="111"/>
        <v>14065.47</v>
      </c>
      <c r="G308" s="181">
        <v>13605.6</v>
      </c>
      <c r="H308" s="178">
        <v>459.86999999999898</v>
      </c>
      <c r="I308" s="170">
        <v>14142.380000000001</v>
      </c>
      <c r="J308" s="171">
        <f t="shared" si="112"/>
        <v>14602.25</v>
      </c>
      <c r="K308" s="202">
        <v>22616.44</v>
      </c>
      <c r="L308" s="171">
        <v>0</v>
      </c>
      <c r="M308" s="197">
        <v>14225.240000000002</v>
      </c>
      <c r="N308" s="171">
        <f t="shared" si="113"/>
        <v>14225.240000000002</v>
      </c>
      <c r="O308" s="202">
        <v>25165.45</v>
      </c>
      <c r="P308" s="238">
        <v>0</v>
      </c>
      <c r="Q308" s="197">
        <v>16373.829999999998</v>
      </c>
      <c r="R308" s="171">
        <f t="shared" si="114"/>
        <v>16373.829999999998</v>
      </c>
      <c r="S308" s="202">
        <v>23330.370000000003</v>
      </c>
      <c r="T308" s="238">
        <v>0</v>
      </c>
      <c r="U308" s="238">
        <v>16711.43</v>
      </c>
      <c r="V308" s="171">
        <f t="shared" si="115"/>
        <v>16711.43</v>
      </c>
      <c r="W308" s="56">
        <v>26534.84</v>
      </c>
      <c r="X308" s="568">
        <f t="shared" si="103"/>
        <v>0</v>
      </c>
      <c r="Y308" s="569">
        <v>17729.019999999997</v>
      </c>
      <c r="Z308" s="171">
        <f t="shared" si="116"/>
        <v>17729.019999999997</v>
      </c>
      <c r="AA308" s="48">
        <v>27816.89</v>
      </c>
      <c r="AB308" s="238">
        <f t="shared" si="104"/>
        <v>0</v>
      </c>
      <c r="AC308" s="238">
        <v>16983.609999999997</v>
      </c>
      <c r="AD308" s="171">
        <f t="shared" si="117"/>
        <v>16983.609999999997</v>
      </c>
      <c r="AE308" s="238"/>
      <c r="AF308" s="238">
        <f t="shared" si="105"/>
        <v>0</v>
      </c>
      <c r="AG308" s="196">
        <v>301</v>
      </c>
      <c r="AH308" s="73" t="s">
        <v>1503</v>
      </c>
      <c r="AI308" t="s">
        <v>1502</v>
      </c>
      <c r="AJ308" s="238">
        <f t="shared" si="106"/>
        <v>0</v>
      </c>
      <c r="AK308" s="238"/>
      <c r="AL308" s="358" t="s">
        <v>1503</v>
      </c>
      <c r="AM308" s="48">
        <v>27816.89</v>
      </c>
      <c r="AN308" s="238" t="s">
        <v>1503</v>
      </c>
      <c r="AO308" s="238">
        <v>16983.609999999997</v>
      </c>
      <c r="AQ308" s="472">
        <f t="shared" si="107"/>
        <v>0</v>
      </c>
      <c r="AS308" t="s">
        <v>1503</v>
      </c>
      <c r="AT308" t="s">
        <v>1912</v>
      </c>
      <c r="AU308" s="48">
        <v>12287.25</v>
      </c>
      <c r="AV308" s="48">
        <v>0</v>
      </c>
      <c r="AW308" s="48">
        <v>0</v>
      </c>
      <c r="AX308" s="48">
        <v>0</v>
      </c>
      <c r="AY308" s="48">
        <v>2764.62</v>
      </c>
      <c r="AZ308" s="48">
        <v>1321.23</v>
      </c>
      <c r="BA308" s="48">
        <v>610.51</v>
      </c>
      <c r="BB308" s="48">
        <v>0</v>
      </c>
      <c r="BC308" s="48">
        <v>0</v>
      </c>
      <c r="BD308" s="48">
        <v>0</v>
      </c>
      <c r="BE308" s="48"/>
      <c r="BF308" s="48">
        <f t="shared" si="118"/>
        <v>16983.609999999997</v>
      </c>
      <c r="BG308" s="48"/>
      <c r="BH308" s="48"/>
      <c r="BI308" s="48" t="str">
        <f t="shared" si="119"/>
        <v>34901</v>
      </c>
      <c r="BJ308" s="48">
        <f t="shared" si="120"/>
        <v>16983.609999999997</v>
      </c>
      <c r="BK308" s="628">
        <f t="shared" si="110"/>
        <v>0</v>
      </c>
    </row>
    <row r="309" spans="1:63">
      <c r="A309" s="196">
        <v>302</v>
      </c>
      <c r="B309" s="173" t="s">
        <v>656</v>
      </c>
      <c r="C309" s="139" t="s">
        <v>657</v>
      </c>
      <c r="D309" s="168">
        <v>1782.5200000000004</v>
      </c>
      <c r="E309" s="170">
        <v>29559.77</v>
      </c>
      <c r="F309" s="171">
        <f t="shared" si="111"/>
        <v>31342.29</v>
      </c>
      <c r="G309" s="181">
        <v>26683.99</v>
      </c>
      <c r="H309" s="178">
        <v>4658.2999999999993</v>
      </c>
      <c r="I309" s="170">
        <v>44489</v>
      </c>
      <c r="J309" s="171">
        <f t="shared" si="112"/>
        <v>49147.3</v>
      </c>
      <c r="K309" s="202">
        <v>46701.47</v>
      </c>
      <c r="L309" s="171">
        <v>2445.8300000000017</v>
      </c>
      <c r="M309" s="197">
        <v>42925.84</v>
      </c>
      <c r="N309" s="171">
        <f t="shared" si="113"/>
        <v>45371.67</v>
      </c>
      <c r="O309" s="202">
        <v>47745.429999999993</v>
      </c>
      <c r="P309" s="238">
        <v>0</v>
      </c>
      <c r="Q309" s="197">
        <v>45608.68</v>
      </c>
      <c r="R309" s="171">
        <f t="shared" si="114"/>
        <v>45608.68</v>
      </c>
      <c r="S309" s="202">
        <v>47709.119999999995</v>
      </c>
      <c r="T309" s="238">
        <v>0</v>
      </c>
      <c r="U309" s="238">
        <v>44078.659999999996</v>
      </c>
      <c r="V309" s="171">
        <f t="shared" si="115"/>
        <v>44078.659999999996</v>
      </c>
      <c r="W309" s="56">
        <v>32502.620000000003</v>
      </c>
      <c r="X309" s="568">
        <f t="shared" si="103"/>
        <v>11576.039999999994</v>
      </c>
      <c r="Y309" s="569">
        <v>45596.22</v>
      </c>
      <c r="Z309" s="171">
        <f t="shared" si="116"/>
        <v>57172.259999999995</v>
      </c>
      <c r="AA309" s="48">
        <v>37734.51</v>
      </c>
      <c r="AB309" s="238">
        <f t="shared" si="104"/>
        <v>19437.749999999993</v>
      </c>
      <c r="AC309" s="238">
        <v>45762.95</v>
      </c>
      <c r="AD309" s="171">
        <f t="shared" si="117"/>
        <v>65200.69999999999</v>
      </c>
      <c r="AE309" s="238"/>
      <c r="AF309" s="238">
        <f t="shared" si="105"/>
        <v>0</v>
      </c>
      <c r="AG309" s="196">
        <v>302</v>
      </c>
      <c r="AH309" s="173" t="s">
        <v>656</v>
      </c>
      <c r="AI309" s="139" t="s">
        <v>657</v>
      </c>
      <c r="AJ309" s="238">
        <f t="shared" si="106"/>
        <v>0</v>
      </c>
      <c r="AK309" s="238"/>
      <c r="AL309" s="358" t="s">
        <v>656</v>
      </c>
      <c r="AM309" s="48">
        <v>37734.51</v>
      </c>
      <c r="AN309" s="238" t="s">
        <v>656</v>
      </c>
      <c r="AO309" s="238">
        <v>45762.95</v>
      </c>
      <c r="AQ309" s="472">
        <f t="shared" si="107"/>
        <v>0</v>
      </c>
      <c r="AS309" t="s">
        <v>656</v>
      </c>
      <c r="AT309" t="s">
        <v>1913</v>
      </c>
      <c r="AU309" s="48">
        <v>38527.01</v>
      </c>
      <c r="AV309" s="48">
        <v>2127.65</v>
      </c>
      <c r="AW309" s="48">
        <v>453.75</v>
      </c>
      <c r="AX309" s="48">
        <v>0</v>
      </c>
      <c r="AY309" s="48">
        <v>0</v>
      </c>
      <c r="AZ309" s="48">
        <v>2361.7399999999998</v>
      </c>
      <c r="BA309" s="48">
        <v>1875.93</v>
      </c>
      <c r="BB309" s="48">
        <v>232.49</v>
      </c>
      <c r="BC309" s="48">
        <v>184.38</v>
      </c>
      <c r="BD309" s="48">
        <v>0</v>
      </c>
      <c r="BE309" s="48"/>
      <c r="BF309" s="48">
        <f t="shared" si="118"/>
        <v>45762.95</v>
      </c>
      <c r="BG309" s="48"/>
      <c r="BH309" s="48"/>
      <c r="BI309" s="48" t="str">
        <f t="shared" si="119"/>
        <v>35200</v>
      </c>
      <c r="BJ309" s="48">
        <f t="shared" si="120"/>
        <v>45762.95</v>
      </c>
      <c r="BK309" s="628">
        <f t="shared" si="110"/>
        <v>0</v>
      </c>
    </row>
    <row r="310" spans="1:63">
      <c r="A310" s="196">
        <v>303</v>
      </c>
      <c r="B310" s="73" t="s">
        <v>277</v>
      </c>
      <c r="C310" s="139" t="s">
        <v>278</v>
      </c>
      <c r="D310" s="168">
        <v>0</v>
      </c>
      <c r="E310" s="170">
        <v>178161.79</v>
      </c>
      <c r="F310" s="171">
        <f t="shared" si="111"/>
        <v>178161.79</v>
      </c>
      <c r="G310" s="181">
        <v>178548.13</v>
      </c>
      <c r="H310" s="178">
        <v>0</v>
      </c>
      <c r="I310" s="170">
        <v>266454.68999999994</v>
      </c>
      <c r="J310" s="171">
        <f t="shared" si="112"/>
        <v>266454.68999999994</v>
      </c>
      <c r="K310" s="202">
        <v>95332.51</v>
      </c>
      <c r="L310" s="171">
        <v>171122.17999999993</v>
      </c>
      <c r="M310" s="197">
        <v>263746.93</v>
      </c>
      <c r="N310" s="171">
        <f t="shared" si="113"/>
        <v>434869.10999999993</v>
      </c>
      <c r="O310" s="202">
        <v>216395.73000000004</v>
      </c>
      <c r="P310" s="238">
        <v>218473.37999999989</v>
      </c>
      <c r="Q310" s="197">
        <v>277857.38</v>
      </c>
      <c r="R310" s="171">
        <f t="shared" si="114"/>
        <v>496330.75999999989</v>
      </c>
      <c r="S310" s="202">
        <v>375972.45</v>
      </c>
      <c r="T310" s="238">
        <v>120358.30999999988</v>
      </c>
      <c r="U310" s="238">
        <v>278787.96000000008</v>
      </c>
      <c r="V310" s="171">
        <f t="shared" si="115"/>
        <v>399146.26999999996</v>
      </c>
      <c r="W310" s="56">
        <v>400372.4600000002</v>
      </c>
      <c r="X310" s="568">
        <f t="shared" si="103"/>
        <v>0</v>
      </c>
      <c r="Y310" s="569">
        <v>293960.96999999997</v>
      </c>
      <c r="Z310" s="171">
        <f t="shared" si="116"/>
        <v>293960.96999999997</v>
      </c>
      <c r="AA310" s="48">
        <v>351515.7</v>
      </c>
      <c r="AB310" s="238">
        <f t="shared" si="104"/>
        <v>0</v>
      </c>
      <c r="AC310" s="238">
        <v>278148.95</v>
      </c>
      <c r="AD310" s="171">
        <f t="shared" si="117"/>
        <v>278148.95</v>
      </c>
      <c r="AE310" s="238"/>
      <c r="AF310" s="238">
        <f t="shared" si="105"/>
        <v>0</v>
      </c>
      <c r="AG310" s="196">
        <v>303</v>
      </c>
      <c r="AH310" s="73" t="s">
        <v>277</v>
      </c>
      <c r="AI310" s="139" t="s">
        <v>278</v>
      </c>
      <c r="AJ310" s="238">
        <f t="shared" si="106"/>
        <v>0</v>
      </c>
      <c r="AK310" s="238"/>
      <c r="AL310" s="358" t="s">
        <v>277</v>
      </c>
      <c r="AM310" s="48">
        <v>351515.7</v>
      </c>
      <c r="AN310" s="238" t="s">
        <v>277</v>
      </c>
      <c r="AO310" s="238">
        <v>278148.95</v>
      </c>
      <c r="AQ310" s="472">
        <f t="shared" si="107"/>
        <v>0</v>
      </c>
      <c r="AS310" t="s">
        <v>277</v>
      </c>
      <c r="AT310" t="s">
        <v>1718</v>
      </c>
      <c r="AU310" s="48">
        <v>163147.51999999999</v>
      </c>
      <c r="AV310" s="48">
        <v>15122.41</v>
      </c>
      <c r="AW310" s="48">
        <v>9183.83</v>
      </c>
      <c r="AX310" s="48">
        <v>0</v>
      </c>
      <c r="AY310" s="48">
        <v>22794.65</v>
      </c>
      <c r="AZ310" s="48">
        <v>21037.87</v>
      </c>
      <c r="BA310" s="48">
        <v>10457.26</v>
      </c>
      <c r="BB310" s="48">
        <v>31535.21</v>
      </c>
      <c r="BC310" s="48">
        <v>972.81</v>
      </c>
      <c r="BD310" s="48">
        <v>3897.39</v>
      </c>
      <c r="BE310" s="48"/>
      <c r="BF310" s="48">
        <f t="shared" si="118"/>
        <v>278148.95</v>
      </c>
      <c r="BG310" s="48"/>
      <c r="BH310" s="48"/>
      <c r="BI310" s="48" t="str">
        <f t="shared" si="119"/>
        <v>13073</v>
      </c>
      <c r="BJ310" s="48">
        <f t="shared" si="120"/>
        <v>278148.95</v>
      </c>
      <c r="BK310" s="628">
        <f t="shared" si="110"/>
        <v>0</v>
      </c>
    </row>
    <row r="311" spans="1:63">
      <c r="A311" s="196">
        <v>304</v>
      </c>
      <c r="B311" s="73" t="s">
        <v>667</v>
      </c>
      <c r="C311" s="139" t="s">
        <v>668</v>
      </c>
      <c r="D311" s="168">
        <v>3602.1100000000015</v>
      </c>
      <c r="E311" s="170">
        <v>20853.46</v>
      </c>
      <c r="F311" s="171">
        <f t="shared" si="111"/>
        <v>24455.57</v>
      </c>
      <c r="G311" s="181">
        <v>16138.81</v>
      </c>
      <c r="H311" s="178">
        <v>8316.76</v>
      </c>
      <c r="I311" s="170">
        <v>30082.74</v>
      </c>
      <c r="J311" s="171">
        <f t="shared" si="112"/>
        <v>38399.5</v>
      </c>
      <c r="K311" s="202">
        <v>21799.08</v>
      </c>
      <c r="L311" s="171">
        <v>16600.419999999998</v>
      </c>
      <c r="M311" s="197">
        <v>31687.370000000003</v>
      </c>
      <c r="N311" s="171">
        <f t="shared" si="113"/>
        <v>48287.79</v>
      </c>
      <c r="O311" s="202">
        <v>22755.059999999998</v>
      </c>
      <c r="P311" s="238">
        <v>25532.730000000003</v>
      </c>
      <c r="Q311" s="197">
        <v>31102.84</v>
      </c>
      <c r="R311" s="171">
        <f t="shared" si="114"/>
        <v>56635.570000000007</v>
      </c>
      <c r="S311" s="202">
        <v>24953.310000000005</v>
      </c>
      <c r="T311" s="238">
        <v>31682.260000000002</v>
      </c>
      <c r="U311" s="238">
        <v>31909.17</v>
      </c>
      <c r="V311" s="171">
        <f t="shared" si="115"/>
        <v>63591.43</v>
      </c>
      <c r="W311" s="56">
        <v>27375.360000000008</v>
      </c>
      <c r="X311" s="568">
        <f t="shared" si="103"/>
        <v>36216.069999999992</v>
      </c>
      <c r="Y311" s="569">
        <v>33535.54</v>
      </c>
      <c r="Z311" s="171">
        <f t="shared" si="116"/>
        <v>69751.609999999986</v>
      </c>
      <c r="AA311" s="48">
        <v>30237.460000000006</v>
      </c>
      <c r="AB311" s="238">
        <f t="shared" si="104"/>
        <v>39514.14999999998</v>
      </c>
      <c r="AC311" s="238">
        <v>34015.800000000003</v>
      </c>
      <c r="AD311" s="171">
        <f t="shared" si="117"/>
        <v>73529.949999999983</v>
      </c>
      <c r="AE311" s="238"/>
      <c r="AF311" s="238">
        <f t="shared" si="105"/>
        <v>0</v>
      </c>
      <c r="AG311" s="196">
        <v>304</v>
      </c>
      <c r="AH311" s="73" t="s">
        <v>667</v>
      </c>
      <c r="AI311" s="139" t="s">
        <v>668</v>
      </c>
      <c r="AJ311" s="238">
        <f t="shared" si="106"/>
        <v>0</v>
      </c>
      <c r="AK311" s="238"/>
      <c r="AL311" s="358" t="s">
        <v>667</v>
      </c>
      <c r="AM311" s="48">
        <v>30237.460000000006</v>
      </c>
      <c r="AN311" s="238" t="s">
        <v>667</v>
      </c>
      <c r="AO311" s="238">
        <v>34015.800000000003</v>
      </c>
      <c r="AQ311" s="472">
        <f t="shared" si="107"/>
        <v>0</v>
      </c>
      <c r="AS311" t="s">
        <v>667</v>
      </c>
      <c r="AT311" t="s">
        <v>1919</v>
      </c>
      <c r="AU311" s="48">
        <v>30176.99</v>
      </c>
      <c r="AV311" s="48">
        <v>1190.18</v>
      </c>
      <c r="AW311" s="48">
        <v>223.55</v>
      </c>
      <c r="AX311" s="48">
        <v>0</v>
      </c>
      <c r="AY311" s="48">
        <v>0</v>
      </c>
      <c r="AZ311" s="48">
        <v>1561.73</v>
      </c>
      <c r="BA311" s="48">
        <v>863.35</v>
      </c>
      <c r="BB311" s="48">
        <v>0</v>
      </c>
      <c r="BC311" s="48">
        <v>0</v>
      </c>
      <c r="BD311" s="48">
        <v>0</v>
      </c>
      <c r="BE311" s="48"/>
      <c r="BF311" s="48">
        <f t="shared" si="118"/>
        <v>34015.800000000003</v>
      </c>
      <c r="BG311" s="48"/>
      <c r="BH311" s="48"/>
      <c r="BI311" s="48" t="str">
        <f t="shared" si="119"/>
        <v>36401</v>
      </c>
      <c r="BJ311" s="48">
        <f t="shared" si="120"/>
        <v>34015.800000000003</v>
      </c>
      <c r="BK311" s="628">
        <f t="shared" si="110"/>
        <v>0</v>
      </c>
    </row>
    <row r="312" spans="1:63">
      <c r="A312" s="196">
        <v>305</v>
      </c>
      <c r="B312" s="73" t="s">
        <v>660</v>
      </c>
      <c r="C312" s="139" t="s">
        <v>661</v>
      </c>
      <c r="D312" s="168">
        <v>55988.200000000041</v>
      </c>
      <c r="E312" s="170">
        <v>368604.75</v>
      </c>
      <c r="F312" s="171">
        <f t="shared" si="111"/>
        <v>424592.95000000007</v>
      </c>
      <c r="G312" s="181">
        <v>9467.9599999999991</v>
      </c>
      <c r="H312" s="178">
        <v>415124.99000000005</v>
      </c>
      <c r="I312" s="170">
        <v>498110.98</v>
      </c>
      <c r="J312" s="171">
        <f t="shared" si="112"/>
        <v>913235.97</v>
      </c>
      <c r="K312" s="202">
        <v>508772.40000000008</v>
      </c>
      <c r="L312" s="171">
        <v>404463.56999999989</v>
      </c>
      <c r="M312" s="197">
        <v>505428.94999999995</v>
      </c>
      <c r="N312" s="171">
        <f t="shared" si="113"/>
        <v>909892.51999999979</v>
      </c>
      <c r="O312" s="202">
        <v>586209.52</v>
      </c>
      <c r="P312" s="238">
        <v>323682.99999999977</v>
      </c>
      <c r="Q312" s="197">
        <v>557309.52</v>
      </c>
      <c r="R312" s="171">
        <f t="shared" si="114"/>
        <v>880992.51999999979</v>
      </c>
      <c r="S312" s="202">
        <v>543748.03</v>
      </c>
      <c r="T312" s="238">
        <v>337244.48999999976</v>
      </c>
      <c r="U312" s="238">
        <v>564319.28</v>
      </c>
      <c r="V312" s="171">
        <f t="shared" si="115"/>
        <v>901563.76999999979</v>
      </c>
      <c r="W312" s="56">
        <v>536308.85999999987</v>
      </c>
      <c r="X312" s="568">
        <f t="shared" si="103"/>
        <v>365254.90999999992</v>
      </c>
      <c r="Y312" s="569">
        <v>593200.8600000001</v>
      </c>
      <c r="Z312" s="171">
        <f t="shared" si="116"/>
        <v>958455.77</v>
      </c>
      <c r="AA312" s="48">
        <v>575235.86000000022</v>
      </c>
      <c r="AB312" s="238">
        <f t="shared" si="104"/>
        <v>383219.9099999998</v>
      </c>
      <c r="AC312" s="238">
        <v>579120.65999999992</v>
      </c>
      <c r="AD312" s="171">
        <f t="shared" si="117"/>
        <v>962340.56999999972</v>
      </c>
      <c r="AE312" s="238"/>
      <c r="AF312" s="238">
        <f t="shared" si="105"/>
        <v>0</v>
      </c>
      <c r="AG312" s="196">
        <v>305</v>
      </c>
      <c r="AH312" s="73" t="s">
        <v>660</v>
      </c>
      <c r="AI312" s="139" t="s">
        <v>661</v>
      </c>
      <c r="AJ312" s="238">
        <f t="shared" si="106"/>
        <v>0</v>
      </c>
      <c r="AK312" s="238"/>
      <c r="AL312" s="358" t="s">
        <v>660</v>
      </c>
      <c r="AM312" s="48">
        <v>575235.86000000022</v>
      </c>
      <c r="AN312" s="238" t="s">
        <v>660</v>
      </c>
      <c r="AO312" s="238">
        <v>579120.65999999992</v>
      </c>
      <c r="AQ312" s="472">
        <f t="shared" si="107"/>
        <v>0</v>
      </c>
      <c r="AS312" t="s">
        <v>660</v>
      </c>
      <c r="AT312" t="s">
        <v>1915</v>
      </c>
      <c r="AU312" s="48">
        <v>361417.76</v>
      </c>
      <c r="AV312" s="48">
        <v>21725.46</v>
      </c>
      <c r="AW312" s="48">
        <v>5398.99</v>
      </c>
      <c r="AX312" s="48">
        <v>14149.61</v>
      </c>
      <c r="AY312" s="48">
        <v>89869.25</v>
      </c>
      <c r="AZ312" s="48">
        <v>31223.8</v>
      </c>
      <c r="BA312" s="48">
        <v>23351.94</v>
      </c>
      <c r="BB312" s="48">
        <v>19517.759999999998</v>
      </c>
      <c r="BC312" s="48">
        <v>2286.33</v>
      </c>
      <c r="BD312" s="48">
        <v>10179.76</v>
      </c>
      <c r="BE312" s="48"/>
      <c r="BF312" s="48">
        <f t="shared" si="118"/>
        <v>579120.65999999992</v>
      </c>
      <c r="BG312" s="48"/>
      <c r="BH312" s="48"/>
      <c r="BI312" s="48" t="str">
        <f t="shared" si="119"/>
        <v>36140</v>
      </c>
      <c r="BJ312" s="48">
        <f t="shared" si="120"/>
        <v>579120.65999999992</v>
      </c>
      <c r="BK312" s="628">
        <f t="shared" si="110"/>
        <v>0</v>
      </c>
    </row>
    <row r="313" spans="1:63">
      <c r="A313" s="196">
        <v>306</v>
      </c>
      <c r="B313" s="73" t="s">
        <v>734</v>
      </c>
      <c r="C313" s="139" t="s">
        <v>735</v>
      </c>
      <c r="D313" s="168">
        <v>4038.4599999999773</v>
      </c>
      <c r="E313" s="170">
        <v>228195.49</v>
      </c>
      <c r="F313" s="171">
        <f t="shared" ref="F313:F321" si="121">+D313+E313</f>
        <v>232233.94999999995</v>
      </c>
      <c r="G313" s="181">
        <v>194482.91</v>
      </c>
      <c r="H313" s="178">
        <v>37751.03999999995</v>
      </c>
      <c r="I313" s="170">
        <v>331869.17000000004</v>
      </c>
      <c r="J313" s="171">
        <f t="shared" ref="J313:J321" si="122">+H313+I313</f>
        <v>369620.20999999996</v>
      </c>
      <c r="K313" s="202">
        <v>205255.83</v>
      </c>
      <c r="L313" s="171">
        <v>164364.37999999998</v>
      </c>
      <c r="M313" s="197">
        <v>325886.28000000003</v>
      </c>
      <c r="N313" s="171">
        <f t="shared" ref="N313:N337" si="123">+L313+M313</f>
        <v>490250.66000000003</v>
      </c>
      <c r="O313" s="202">
        <v>115511.69999999998</v>
      </c>
      <c r="P313" s="238">
        <v>374738.96000000008</v>
      </c>
      <c r="Q313" s="197">
        <v>360228.74</v>
      </c>
      <c r="R313" s="171">
        <f t="shared" ref="R313:R337" si="124">+P313+Q313</f>
        <v>734967.70000000007</v>
      </c>
      <c r="S313" s="202">
        <v>189084.90000000002</v>
      </c>
      <c r="T313" s="238">
        <v>545882.80000000005</v>
      </c>
      <c r="U313" s="238">
        <v>353542.60000000003</v>
      </c>
      <c r="V313" s="171">
        <f t="shared" ref="V313:V337" si="125">+T313+U313</f>
        <v>899425.40000000014</v>
      </c>
      <c r="W313" s="56">
        <v>182894.53000000003</v>
      </c>
      <c r="X313" s="568">
        <f t="shared" si="103"/>
        <v>716530.87000000011</v>
      </c>
      <c r="Y313" s="569">
        <v>381107.92000000004</v>
      </c>
      <c r="Z313" s="171">
        <f t="shared" ref="Z313:Z337" si="126">+X313+Y313</f>
        <v>1097638.79</v>
      </c>
      <c r="AA313" s="48">
        <v>411465.97000000009</v>
      </c>
      <c r="AB313" s="238">
        <f t="shared" si="104"/>
        <v>686172.82</v>
      </c>
      <c r="AC313" s="238">
        <v>370531.58</v>
      </c>
      <c r="AD313" s="171">
        <f t="shared" ref="AD313:AD337" si="127">+AB313+AC313</f>
        <v>1056704.3999999999</v>
      </c>
      <c r="AE313" s="238"/>
      <c r="AF313" s="238">
        <f t="shared" si="105"/>
        <v>0</v>
      </c>
      <c r="AG313" s="196">
        <v>306</v>
      </c>
      <c r="AH313" s="73" t="s">
        <v>734</v>
      </c>
      <c r="AI313" s="139" t="s">
        <v>735</v>
      </c>
      <c r="AJ313" s="238">
        <f t="shared" si="106"/>
        <v>0</v>
      </c>
      <c r="AK313" s="238"/>
      <c r="AL313" s="358" t="s">
        <v>734</v>
      </c>
      <c r="AM313" s="48">
        <v>411465.97000000009</v>
      </c>
      <c r="AN313" s="238" t="s">
        <v>734</v>
      </c>
      <c r="AO313" s="238">
        <v>370531.58</v>
      </c>
      <c r="AQ313" s="472">
        <f t="shared" si="107"/>
        <v>0</v>
      </c>
      <c r="AS313" t="s">
        <v>734</v>
      </c>
      <c r="AT313" t="s">
        <v>1954</v>
      </c>
      <c r="AU313" s="48">
        <v>225160.35</v>
      </c>
      <c r="AV313" s="48">
        <v>19486.919999999998</v>
      </c>
      <c r="AW313" s="48">
        <v>4477.0600000000004</v>
      </c>
      <c r="AX313" s="48">
        <v>0</v>
      </c>
      <c r="AY313" s="48">
        <v>43857.29</v>
      </c>
      <c r="AZ313" s="48">
        <v>26023.69</v>
      </c>
      <c r="BA313" s="48">
        <v>13983.1</v>
      </c>
      <c r="BB313" s="48">
        <v>26518.560000000001</v>
      </c>
      <c r="BC313" s="48">
        <v>1285.77</v>
      </c>
      <c r="BD313" s="48">
        <v>9738.84</v>
      </c>
      <c r="BE313" s="48"/>
      <c r="BF313" s="48">
        <f t="shared" si="118"/>
        <v>370531.58</v>
      </c>
      <c r="BG313" s="48"/>
      <c r="BH313" s="48"/>
      <c r="BI313" s="48" t="str">
        <f t="shared" si="119"/>
        <v>39207</v>
      </c>
      <c r="BJ313" s="48">
        <f t="shared" si="120"/>
        <v>370531.58</v>
      </c>
      <c r="BK313" s="628">
        <f t="shared" si="110"/>
        <v>0</v>
      </c>
    </row>
    <row r="314" spans="1:63">
      <c r="A314" s="196">
        <v>307</v>
      </c>
      <c r="B314" s="73" t="s">
        <v>281</v>
      </c>
      <c r="C314" s="139" t="s">
        <v>282</v>
      </c>
      <c r="D314" s="168">
        <v>0</v>
      </c>
      <c r="E314" s="170">
        <v>64436.81</v>
      </c>
      <c r="F314" s="171">
        <f t="shared" si="121"/>
        <v>64436.81</v>
      </c>
      <c r="G314" s="181">
        <v>63276.74</v>
      </c>
      <c r="H314" s="178">
        <v>1160.0699999999997</v>
      </c>
      <c r="I314" s="170">
        <v>90583.959999999992</v>
      </c>
      <c r="J314" s="171">
        <f t="shared" si="122"/>
        <v>91744.03</v>
      </c>
      <c r="K314" s="202">
        <v>89204.48000000001</v>
      </c>
      <c r="L314" s="171">
        <v>2539.5499999999884</v>
      </c>
      <c r="M314" s="197">
        <v>91067.650000000009</v>
      </c>
      <c r="N314" s="171">
        <f t="shared" si="123"/>
        <v>93607.2</v>
      </c>
      <c r="O314" s="202">
        <v>62456.99</v>
      </c>
      <c r="P314" s="238">
        <v>31150.21</v>
      </c>
      <c r="Q314" s="197">
        <v>97975.09</v>
      </c>
      <c r="R314" s="171">
        <f t="shared" si="124"/>
        <v>129125.29999999999</v>
      </c>
      <c r="S314" s="202">
        <v>122394.09</v>
      </c>
      <c r="T314" s="238">
        <v>6731.2099999999919</v>
      </c>
      <c r="U314" s="238">
        <v>101972.20000000001</v>
      </c>
      <c r="V314" s="171">
        <f t="shared" si="125"/>
        <v>108703.41</v>
      </c>
      <c r="W314" s="56">
        <v>105097.01999999999</v>
      </c>
      <c r="X314" s="568">
        <f t="shared" si="103"/>
        <v>3606.390000000014</v>
      </c>
      <c r="Y314" s="569">
        <v>108906.67</v>
      </c>
      <c r="Z314" s="171">
        <f t="shared" si="126"/>
        <v>112513.06000000001</v>
      </c>
      <c r="AA314" s="48">
        <v>112513</v>
      </c>
      <c r="AB314" s="238">
        <f t="shared" si="104"/>
        <v>6.0000000012223609E-2</v>
      </c>
      <c r="AC314" s="238">
        <v>107816.81000000001</v>
      </c>
      <c r="AD314" s="171">
        <f t="shared" si="127"/>
        <v>107816.87000000002</v>
      </c>
      <c r="AE314" s="238"/>
      <c r="AF314" s="238">
        <f t="shared" si="105"/>
        <v>0</v>
      </c>
      <c r="AG314" s="196">
        <v>307</v>
      </c>
      <c r="AH314" s="73" t="s">
        <v>281</v>
      </c>
      <c r="AI314" s="139" t="s">
        <v>282</v>
      </c>
      <c r="AJ314" s="238">
        <f t="shared" si="106"/>
        <v>0</v>
      </c>
      <c r="AK314" s="238"/>
      <c r="AL314" s="358" t="s">
        <v>281</v>
      </c>
      <c r="AM314" s="48">
        <v>112513</v>
      </c>
      <c r="AN314" s="238" t="s">
        <v>281</v>
      </c>
      <c r="AO314" s="238">
        <v>107816.81000000001</v>
      </c>
      <c r="AQ314" s="472">
        <f t="shared" si="107"/>
        <v>0</v>
      </c>
      <c r="AS314" t="s">
        <v>281</v>
      </c>
      <c r="AT314" t="s">
        <v>1720</v>
      </c>
      <c r="AU314" s="48">
        <v>69582.509999999995</v>
      </c>
      <c r="AV314" s="48">
        <v>4568.0200000000004</v>
      </c>
      <c r="AW314" s="48">
        <v>615.13</v>
      </c>
      <c r="AX314" s="48">
        <v>0</v>
      </c>
      <c r="AY314" s="48">
        <v>14389.02</v>
      </c>
      <c r="AZ314" s="48">
        <v>7369.27</v>
      </c>
      <c r="BA314" s="48">
        <v>4103.97</v>
      </c>
      <c r="BB314" s="48">
        <v>6797.3</v>
      </c>
      <c r="BC314" s="48">
        <v>391.59</v>
      </c>
      <c r="BD314" s="48">
        <v>0</v>
      </c>
      <c r="BE314" s="48"/>
      <c r="BF314" s="48">
        <f t="shared" si="118"/>
        <v>107816.81000000001</v>
      </c>
      <c r="BG314" s="48"/>
      <c r="BH314" s="48"/>
      <c r="BI314" s="48" t="str">
        <f t="shared" si="119"/>
        <v>13146</v>
      </c>
      <c r="BJ314" s="48">
        <f t="shared" si="120"/>
        <v>107816.81000000001</v>
      </c>
      <c r="BK314" s="628">
        <f t="shared" si="110"/>
        <v>0</v>
      </c>
    </row>
    <row r="315" spans="1:63">
      <c r="A315" s="196">
        <v>308</v>
      </c>
      <c r="B315" s="73" t="s">
        <v>220</v>
      </c>
      <c r="C315" s="139" t="s">
        <v>221</v>
      </c>
      <c r="D315" s="168">
        <v>21469.97</v>
      </c>
      <c r="E315" s="170">
        <v>203579.56</v>
      </c>
      <c r="F315" s="171">
        <f t="shared" si="121"/>
        <v>225049.53</v>
      </c>
      <c r="G315" s="181">
        <v>217445.61</v>
      </c>
      <c r="H315" s="178">
        <v>7603.9200000000128</v>
      </c>
      <c r="I315" s="170">
        <v>261287.41999999998</v>
      </c>
      <c r="J315" s="171">
        <f t="shared" si="122"/>
        <v>268891.33999999997</v>
      </c>
      <c r="K315" s="202">
        <v>330436.59999999998</v>
      </c>
      <c r="L315" s="171">
        <v>0</v>
      </c>
      <c r="M315" s="197">
        <v>269641.17</v>
      </c>
      <c r="N315" s="171">
        <f t="shared" si="123"/>
        <v>269641.17</v>
      </c>
      <c r="O315" s="202">
        <v>305723.12</v>
      </c>
      <c r="P315" s="238">
        <v>0</v>
      </c>
      <c r="Q315" s="197">
        <v>286124.7</v>
      </c>
      <c r="R315" s="171">
        <f t="shared" si="124"/>
        <v>286124.7</v>
      </c>
      <c r="S315" s="202">
        <v>226097.09999999998</v>
      </c>
      <c r="T315" s="238">
        <v>60027.600000000035</v>
      </c>
      <c r="U315" s="238">
        <v>286357.08999999997</v>
      </c>
      <c r="V315" s="171">
        <f t="shared" si="125"/>
        <v>346384.69</v>
      </c>
      <c r="W315" s="572">
        <v>346384.69</v>
      </c>
      <c r="X315" s="573">
        <f t="shared" si="103"/>
        <v>0</v>
      </c>
      <c r="Y315" s="569">
        <v>303607.50999999995</v>
      </c>
      <c r="Z315" s="171">
        <f t="shared" si="126"/>
        <v>303607.50999999995</v>
      </c>
      <c r="AA315" s="48">
        <v>318044.18000000011</v>
      </c>
      <c r="AB315" s="238">
        <f t="shared" si="104"/>
        <v>0</v>
      </c>
      <c r="AC315" s="238">
        <v>302570.74000000005</v>
      </c>
      <c r="AD315" s="171">
        <f t="shared" si="127"/>
        <v>302570.74000000005</v>
      </c>
      <c r="AE315" s="238"/>
      <c r="AF315" s="238">
        <f t="shared" si="105"/>
        <v>0</v>
      </c>
      <c r="AG315" s="196">
        <v>308</v>
      </c>
      <c r="AH315" s="73" t="s">
        <v>220</v>
      </c>
      <c r="AI315" s="139" t="s">
        <v>221</v>
      </c>
      <c r="AJ315" s="238">
        <f t="shared" si="106"/>
        <v>0</v>
      </c>
      <c r="AK315" s="238"/>
      <c r="AL315" s="358" t="s">
        <v>220</v>
      </c>
      <c r="AM315" s="48">
        <v>318044.18000000011</v>
      </c>
      <c r="AN315" s="238" t="s">
        <v>220</v>
      </c>
      <c r="AO315" s="238">
        <v>302570.74000000005</v>
      </c>
      <c r="AQ315" s="472">
        <f t="shared" si="107"/>
        <v>0</v>
      </c>
      <c r="AS315" t="s">
        <v>220</v>
      </c>
      <c r="AT315" t="s">
        <v>1689</v>
      </c>
      <c r="AU315" s="48">
        <v>203744.09</v>
      </c>
      <c r="AV315" s="48">
        <v>15858.16</v>
      </c>
      <c r="AW315" s="48">
        <v>4098.55</v>
      </c>
      <c r="AX315" s="48">
        <v>0</v>
      </c>
      <c r="AY315" s="48">
        <v>53873.4</v>
      </c>
      <c r="AZ315" s="48">
        <v>11210.53</v>
      </c>
      <c r="BA315" s="48">
        <v>0</v>
      </c>
      <c r="BB315" s="48">
        <v>2979.13</v>
      </c>
      <c r="BC315" s="48">
        <v>1199.49</v>
      </c>
      <c r="BD315" s="48">
        <v>9607.39</v>
      </c>
      <c r="BE315" s="48"/>
      <c r="BF315" s="48">
        <f t="shared" si="118"/>
        <v>302570.74000000005</v>
      </c>
      <c r="BG315" s="48"/>
      <c r="BH315" s="48"/>
      <c r="BI315" s="48" t="str">
        <f t="shared" si="119"/>
        <v>06112</v>
      </c>
      <c r="BJ315" s="48">
        <f t="shared" si="120"/>
        <v>302570.74000000005</v>
      </c>
      <c r="BK315" s="628">
        <f t="shared" si="110"/>
        <v>0</v>
      </c>
    </row>
    <row r="316" spans="1:63">
      <c r="A316" s="196">
        <v>309</v>
      </c>
      <c r="B316" s="73" t="s">
        <v>163</v>
      </c>
      <c r="C316" s="139" t="s">
        <v>164</v>
      </c>
      <c r="D316" s="168">
        <v>1270.1899999999996</v>
      </c>
      <c r="E316" s="170">
        <v>12138.61</v>
      </c>
      <c r="F316" s="171">
        <f t="shared" si="121"/>
        <v>13408.8</v>
      </c>
      <c r="G316" s="181">
        <v>10397.209999999999</v>
      </c>
      <c r="H316" s="178">
        <v>3011.59</v>
      </c>
      <c r="I316" s="170">
        <v>18633.039999999997</v>
      </c>
      <c r="J316" s="171">
        <f t="shared" si="122"/>
        <v>21644.629999999997</v>
      </c>
      <c r="K316" s="202">
        <v>17016.449999999997</v>
      </c>
      <c r="L316" s="171">
        <v>4628.18</v>
      </c>
      <c r="M316" s="197">
        <v>19183.069999999996</v>
      </c>
      <c r="N316" s="171">
        <f t="shared" si="123"/>
        <v>23811.249999999996</v>
      </c>
      <c r="O316" s="202">
        <v>18111.12</v>
      </c>
      <c r="P316" s="238">
        <v>5700.1299999999974</v>
      </c>
      <c r="Q316" s="197">
        <v>20433.45</v>
      </c>
      <c r="R316" s="171">
        <f t="shared" si="124"/>
        <v>26133.579999999998</v>
      </c>
      <c r="S316" s="202">
        <v>17062.48</v>
      </c>
      <c r="T316" s="238">
        <v>9071.0999999999985</v>
      </c>
      <c r="U316" s="238">
        <v>20289.310000000001</v>
      </c>
      <c r="V316" s="171">
        <f t="shared" si="125"/>
        <v>29360.41</v>
      </c>
      <c r="W316" s="56">
        <v>29360.41</v>
      </c>
      <c r="X316" s="568">
        <f t="shared" si="103"/>
        <v>0</v>
      </c>
      <c r="Y316" s="569">
        <v>21199.97</v>
      </c>
      <c r="Z316" s="171">
        <f t="shared" si="126"/>
        <v>21199.97</v>
      </c>
      <c r="AA316" s="48">
        <v>24275.149999999994</v>
      </c>
      <c r="AB316" s="238">
        <f t="shared" si="104"/>
        <v>0</v>
      </c>
      <c r="AC316" s="238">
        <v>21844.709999999995</v>
      </c>
      <c r="AD316" s="171">
        <f t="shared" si="127"/>
        <v>21844.709999999995</v>
      </c>
      <c r="AE316" s="238"/>
      <c r="AF316" s="238">
        <f t="shared" si="105"/>
        <v>0</v>
      </c>
      <c r="AG316" s="196">
        <v>309</v>
      </c>
      <c r="AH316" s="73" t="s">
        <v>163</v>
      </c>
      <c r="AI316" s="139" t="s">
        <v>164</v>
      </c>
      <c r="AJ316" s="238">
        <f t="shared" si="106"/>
        <v>0</v>
      </c>
      <c r="AK316" s="238"/>
      <c r="AL316" s="358" t="s">
        <v>163</v>
      </c>
      <c r="AM316" s="48">
        <v>24275.149999999994</v>
      </c>
      <c r="AN316" s="238" t="s">
        <v>163</v>
      </c>
      <c r="AO316" s="238">
        <v>21844.709999999995</v>
      </c>
      <c r="AQ316" s="472">
        <f t="shared" si="107"/>
        <v>0</v>
      </c>
      <c r="AS316" t="s">
        <v>163</v>
      </c>
      <c r="AT316" t="s">
        <v>1659</v>
      </c>
      <c r="AU316" s="48">
        <v>19203.259999999998</v>
      </c>
      <c r="AV316" s="48">
        <v>294.45999999999998</v>
      </c>
      <c r="AW316" s="48">
        <v>69.37</v>
      </c>
      <c r="AX316" s="48">
        <v>0</v>
      </c>
      <c r="AY316" s="48">
        <v>1543.78</v>
      </c>
      <c r="AZ316" s="48">
        <v>437.84</v>
      </c>
      <c r="BA316" s="48">
        <v>269.79000000000002</v>
      </c>
      <c r="BB316" s="48">
        <v>0</v>
      </c>
      <c r="BC316" s="48">
        <v>26.21</v>
      </c>
      <c r="BD316" s="48">
        <v>0</v>
      </c>
      <c r="BE316" s="48"/>
      <c r="BF316" s="48">
        <f t="shared" ref="BF316:BF337" si="128">SUM(AU316:BE316)</f>
        <v>21844.709999999995</v>
      </c>
      <c r="BG316" s="48"/>
      <c r="BH316" s="48"/>
      <c r="BI316" s="48" t="str">
        <f t="shared" ref="BI316:BI337" si="129">TEXT(AS316, "00000")</f>
        <v>01109</v>
      </c>
      <c r="BJ316" s="48">
        <f t="shared" ref="BJ316:BJ337" si="130">BF316</f>
        <v>21844.709999999995</v>
      </c>
      <c r="BK316" s="628">
        <f t="shared" si="110"/>
        <v>0</v>
      </c>
    </row>
    <row r="317" spans="1:63">
      <c r="A317" s="196">
        <v>310</v>
      </c>
      <c r="B317" s="73" t="s">
        <v>255</v>
      </c>
      <c r="C317" s="139" t="s">
        <v>256</v>
      </c>
      <c r="D317" s="168">
        <v>1.8189894035458565E-12</v>
      </c>
      <c r="E317" s="170">
        <v>19044.170000000002</v>
      </c>
      <c r="F317" s="171">
        <f t="shared" si="121"/>
        <v>19044.170000000006</v>
      </c>
      <c r="G317" s="181">
        <v>19044.169999999998</v>
      </c>
      <c r="H317" s="178">
        <v>7.2759576141834259E-12</v>
      </c>
      <c r="I317" s="170">
        <v>29428.059999999998</v>
      </c>
      <c r="J317" s="171">
        <f t="shared" si="122"/>
        <v>29428.060000000005</v>
      </c>
      <c r="K317" s="202">
        <v>29501.989999999998</v>
      </c>
      <c r="L317" s="171">
        <v>0</v>
      </c>
      <c r="M317" s="197">
        <v>29597.45</v>
      </c>
      <c r="N317" s="171">
        <f t="shared" si="123"/>
        <v>29597.45</v>
      </c>
      <c r="O317" s="202">
        <v>29493.670000000002</v>
      </c>
      <c r="P317" s="238">
        <v>103.77999999999884</v>
      </c>
      <c r="Q317" s="197">
        <v>31976.29</v>
      </c>
      <c r="R317" s="171">
        <f t="shared" si="124"/>
        <v>32080.07</v>
      </c>
      <c r="S317" s="202">
        <v>31976.3</v>
      </c>
      <c r="T317" s="238">
        <v>103.77000000000044</v>
      </c>
      <c r="U317" s="238">
        <v>30286.859999999997</v>
      </c>
      <c r="V317" s="171">
        <f t="shared" si="125"/>
        <v>30390.629999999997</v>
      </c>
      <c r="W317" s="56">
        <v>30390.630000000005</v>
      </c>
      <c r="X317" s="568">
        <f t="shared" si="103"/>
        <v>0</v>
      </c>
      <c r="Y317" s="569">
        <v>35549.759999999995</v>
      </c>
      <c r="Z317" s="171">
        <f t="shared" si="126"/>
        <v>35549.759999999995</v>
      </c>
      <c r="AA317" s="48">
        <v>37146.970000000008</v>
      </c>
      <c r="AB317" s="238">
        <f t="shared" si="104"/>
        <v>0</v>
      </c>
      <c r="AC317" s="238">
        <v>37512.339999999989</v>
      </c>
      <c r="AD317" s="171">
        <f t="shared" si="127"/>
        <v>37512.339999999989</v>
      </c>
      <c r="AE317" s="238"/>
      <c r="AF317" s="238">
        <f t="shared" si="105"/>
        <v>0</v>
      </c>
      <c r="AG317" s="196">
        <v>310</v>
      </c>
      <c r="AH317" s="73" t="s">
        <v>255</v>
      </c>
      <c r="AI317" s="139" t="s">
        <v>256</v>
      </c>
      <c r="AJ317" s="238">
        <f t="shared" si="106"/>
        <v>0</v>
      </c>
      <c r="AK317" s="238"/>
      <c r="AL317" s="358" t="s">
        <v>255</v>
      </c>
      <c r="AM317" s="48">
        <v>37146.970000000008</v>
      </c>
      <c r="AN317" s="238" t="s">
        <v>255</v>
      </c>
      <c r="AO317" s="238">
        <v>37512.339999999989</v>
      </c>
      <c r="AQ317" s="472">
        <f t="shared" si="107"/>
        <v>0</v>
      </c>
      <c r="AS317" t="s">
        <v>255</v>
      </c>
      <c r="AT317" t="s">
        <v>1707</v>
      </c>
      <c r="AU317" s="48">
        <v>28339.3</v>
      </c>
      <c r="AV317" s="48">
        <v>2594.66</v>
      </c>
      <c r="AW317" s="48">
        <v>806.3</v>
      </c>
      <c r="AX317" s="48">
        <v>0</v>
      </c>
      <c r="AY317" s="48">
        <v>0</v>
      </c>
      <c r="AZ317" s="48">
        <v>1427.61</v>
      </c>
      <c r="BA317" s="48">
        <v>1170.1400000000001</v>
      </c>
      <c r="BB317" s="48">
        <v>656.75</v>
      </c>
      <c r="BC317" s="48">
        <v>114.09</v>
      </c>
      <c r="BD317" s="48">
        <v>2403.4899999999998</v>
      </c>
      <c r="BE317" s="48"/>
      <c r="BF317" s="48">
        <f t="shared" si="128"/>
        <v>37512.339999999989</v>
      </c>
      <c r="BG317" s="48"/>
      <c r="BH317" s="48"/>
      <c r="BI317" s="48" t="str">
        <f t="shared" si="129"/>
        <v>09209</v>
      </c>
      <c r="BJ317" s="48">
        <f t="shared" si="130"/>
        <v>37512.339999999989</v>
      </c>
      <c r="BK317" s="628">
        <f t="shared" si="110"/>
        <v>0</v>
      </c>
    </row>
    <row r="318" spans="1:63">
      <c r="A318" s="196">
        <v>311</v>
      </c>
      <c r="B318" s="73" t="s">
        <v>622</v>
      </c>
      <c r="C318" s="139" t="s">
        <v>623</v>
      </c>
      <c r="D318" s="168">
        <v>0</v>
      </c>
      <c r="E318" s="170">
        <v>30330.28</v>
      </c>
      <c r="F318" s="171">
        <f t="shared" si="121"/>
        <v>30330.28</v>
      </c>
      <c r="G318" s="181">
        <v>31114.31</v>
      </c>
      <c r="H318" s="178">
        <v>0</v>
      </c>
      <c r="I318" s="170">
        <v>46567.09</v>
      </c>
      <c r="J318" s="171">
        <f t="shared" si="122"/>
        <v>46567.09</v>
      </c>
      <c r="K318" s="202">
        <v>35357.93</v>
      </c>
      <c r="L318" s="171">
        <v>11209.159999999996</v>
      </c>
      <c r="M318" s="197">
        <v>43682.71</v>
      </c>
      <c r="N318" s="171">
        <f t="shared" si="123"/>
        <v>54891.869999999995</v>
      </c>
      <c r="O318" s="202">
        <v>41124.26</v>
      </c>
      <c r="P318" s="238">
        <v>13767.609999999993</v>
      </c>
      <c r="Q318" s="197">
        <v>44518.17</v>
      </c>
      <c r="R318" s="171">
        <f t="shared" si="124"/>
        <v>58285.779999999992</v>
      </c>
      <c r="S318" s="202">
        <v>77846.89</v>
      </c>
      <c r="T318" s="238">
        <v>0</v>
      </c>
      <c r="U318" s="238">
        <v>46085.759999999995</v>
      </c>
      <c r="V318" s="171">
        <f t="shared" si="125"/>
        <v>46085.759999999995</v>
      </c>
      <c r="W318" s="56">
        <v>43535.090000000004</v>
      </c>
      <c r="X318" s="568">
        <f t="shared" si="103"/>
        <v>2550.669999999991</v>
      </c>
      <c r="Y318" s="569">
        <v>46615.08</v>
      </c>
      <c r="Z318" s="171">
        <f t="shared" si="126"/>
        <v>49165.749999999993</v>
      </c>
      <c r="AA318" s="48">
        <v>47810.880000000005</v>
      </c>
      <c r="AB318" s="238">
        <f t="shared" si="104"/>
        <v>1354.8699999999881</v>
      </c>
      <c r="AC318" s="238">
        <v>44254.200000000004</v>
      </c>
      <c r="AD318" s="171">
        <f t="shared" si="127"/>
        <v>45609.069999999992</v>
      </c>
      <c r="AE318" s="238"/>
      <c r="AF318" s="238">
        <f t="shared" si="105"/>
        <v>0</v>
      </c>
      <c r="AG318" s="196">
        <v>311</v>
      </c>
      <c r="AH318" s="73" t="s">
        <v>622</v>
      </c>
      <c r="AI318" s="139" t="s">
        <v>623</v>
      </c>
      <c r="AJ318" s="238">
        <f t="shared" si="106"/>
        <v>0</v>
      </c>
      <c r="AK318" s="238"/>
      <c r="AL318" s="358" t="s">
        <v>622</v>
      </c>
      <c r="AM318" s="48">
        <v>47810.880000000005</v>
      </c>
      <c r="AN318" s="238" t="s">
        <v>622</v>
      </c>
      <c r="AO318" s="238">
        <v>44254.200000000004</v>
      </c>
      <c r="AQ318" s="472">
        <f t="shared" si="107"/>
        <v>0</v>
      </c>
      <c r="AS318" t="s">
        <v>622</v>
      </c>
      <c r="AT318" t="s">
        <v>1894</v>
      </c>
      <c r="AU318" s="48">
        <v>31206.83</v>
      </c>
      <c r="AV318" s="48">
        <v>1096.1400000000001</v>
      </c>
      <c r="AW318" s="48">
        <v>0</v>
      </c>
      <c r="AX318" s="48">
        <v>0</v>
      </c>
      <c r="AY318" s="48">
        <v>7253.71</v>
      </c>
      <c r="AZ318" s="48">
        <v>3071.04</v>
      </c>
      <c r="BA318" s="48">
        <v>1469.23</v>
      </c>
      <c r="BB318" s="48">
        <v>0</v>
      </c>
      <c r="BC318" s="48">
        <v>157.25</v>
      </c>
      <c r="BD318" s="48">
        <v>0</v>
      </c>
      <c r="BE318" s="48"/>
      <c r="BF318" s="48">
        <f t="shared" si="128"/>
        <v>44254.200000000004</v>
      </c>
      <c r="BG318" s="48"/>
      <c r="BH318" s="48"/>
      <c r="BI318" s="48" t="str">
        <f t="shared" si="129"/>
        <v>33049</v>
      </c>
      <c r="BJ318" s="48">
        <f t="shared" si="130"/>
        <v>44254.200000000004</v>
      </c>
      <c r="BK318" s="628">
        <f t="shared" si="110"/>
        <v>0</v>
      </c>
    </row>
    <row r="319" spans="1:63">
      <c r="A319" s="196">
        <v>312</v>
      </c>
      <c r="B319" s="73" t="s">
        <v>201</v>
      </c>
      <c r="C319" s="139" t="s">
        <v>202</v>
      </c>
      <c r="D319" s="168">
        <v>4122.4800000000687</v>
      </c>
      <c r="E319" s="170">
        <v>507726.16999999993</v>
      </c>
      <c r="F319" s="171">
        <f t="shared" si="121"/>
        <v>511848.65</v>
      </c>
      <c r="G319" s="181">
        <v>500337.6</v>
      </c>
      <c r="H319" s="178">
        <v>11511.050000000047</v>
      </c>
      <c r="I319" s="170">
        <v>693349.15999999992</v>
      </c>
      <c r="J319" s="171">
        <f t="shared" si="122"/>
        <v>704860.21</v>
      </c>
      <c r="K319" s="202">
        <v>750704.27</v>
      </c>
      <c r="L319" s="171">
        <v>0</v>
      </c>
      <c r="M319" s="197">
        <v>716568.86</v>
      </c>
      <c r="N319" s="171">
        <f t="shared" si="123"/>
        <v>716568.86</v>
      </c>
      <c r="O319" s="202">
        <v>763289.37999999977</v>
      </c>
      <c r="P319" s="238">
        <v>0</v>
      </c>
      <c r="Q319" s="197">
        <v>763222.52</v>
      </c>
      <c r="R319" s="171">
        <f t="shared" si="124"/>
        <v>763222.52</v>
      </c>
      <c r="S319" s="202">
        <v>604762.6399999999</v>
      </c>
      <c r="T319" s="238">
        <v>158459.88000000012</v>
      </c>
      <c r="U319" s="575">
        <v>763663.31</v>
      </c>
      <c r="V319" s="171">
        <f t="shared" si="125"/>
        <v>922123.19000000018</v>
      </c>
      <c r="W319" s="56">
        <v>788210.25000000047</v>
      </c>
      <c r="X319" s="568">
        <f t="shared" si="103"/>
        <v>133912.93999999971</v>
      </c>
      <c r="Y319" s="576">
        <v>757999.33000000007</v>
      </c>
      <c r="Z319" s="171">
        <f t="shared" si="126"/>
        <v>891912.26999999979</v>
      </c>
      <c r="AA319" s="48">
        <v>815146.74000000057</v>
      </c>
      <c r="AB319" s="238">
        <f t="shared" si="104"/>
        <v>76765.529999999213</v>
      </c>
      <c r="AC319" s="238">
        <v>757184.09</v>
      </c>
      <c r="AD319" s="171">
        <f t="shared" si="127"/>
        <v>833949.61999999918</v>
      </c>
      <c r="AE319" s="238"/>
      <c r="AF319" s="238">
        <f t="shared" si="105"/>
        <v>0</v>
      </c>
      <c r="AG319" s="196">
        <v>312</v>
      </c>
      <c r="AH319" s="73" t="s">
        <v>201</v>
      </c>
      <c r="AI319" s="139" t="s">
        <v>202</v>
      </c>
      <c r="AJ319" s="238">
        <f t="shared" si="106"/>
        <v>0</v>
      </c>
      <c r="AK319" s="238"/>
      <c r="AL319" s="358" t="s">
        <v>201</v>
      </c>
      <c r="AM319" s="48">
        <v>815146.74000000057</v>
      </c>
      <c r="AN319" s="238" t="s">
        <v>201</v>
      </c>
      <c r="AO319" s="238">
        <v>757184.09</v>
      </c>
      <c r="AQ319" s="472">
        <f t="shared" si="107"/>
        <v>0</v>
      </c>
      <c r="AS319" t="s">
        <v>201</v>
      </c>
      <c r="AT319" t="s">
        <v>1678</v>
      </c>
      <c r="AU319" s="48">
        <v>426680.46</v>
      </c>
      <c r="AV319" s="48">
        <v>65552.539999999994</v>
      </c>
      <c r="AW319" s="48">
        <v>24312.41</v>
      </c>
      <c r="AX319" s="48">
        <v>21629.88</v>
      </c>
      <c r="AY319" s="48">
        <v>103915.65</v>
      </c>
      <c r="AZ319" s="48">
        <v>40199.5</v>
      </c>
      <c r="BA319" s="48">
        <v>25971.27</v>
      </c>
      <c r="BB319" s="48">
        <v>39255.99</v>
      </c>
      <c r="BC319" s="48">
        <v>2993.96</v>
      </c>
      <c r="BD319" s="48">
        <v>6672.43</v>
      </c>
      <c r="BE319" s="48"/>
      <c r="BF319" s="48">
        <f t="shared" si="128"/>
        <v>757184.09</v>
      </c>
      <c r="BG319" s="48"/>
      <c r="BH319" s="48"/>
      <c r="BI319" s="48" t="str">
        <f t="shared" si="129"/>
        <v>04246</v>
      </c>
      <c r="BJ319" s="48">
        <f t="shared" si="130"/>
        <v>757184.09</v>
      </c>
      <c r="BK319" s="628">
        <f t="shared" si="110"/>
        <v>0</v>
      </c>
    </row>
    <row r="320" spans="1:63">
      <c r="A320" s="196">
        <v>313</v>
      </c>
      <c r="B320" s="73" t="s">
        <v>613</v>
      </c>
      <c r="C320" s="139" t="s">
        <v>803</v>
      </c>
      <c r="D320" s="168">
        <v>30147.309999999998</v>
      </c>
      <c r="E320" s="170">
        <v>203220.31</v>
      </c>
      <c r="F320" s="171">
        <f t="shared" si="121"/>
        <v>233367.62</v>
      </c>
      <c r="G320" s="181">
        <v>233367.62</v>
      </c>
      <c r="H320" s="178">
        <v>0</v>
      </c>
      <c r="I320" s="170">
        <v>272904.63</v>
      </c>
      <c r="J320" s="171">
        <f t="shared" si="122"/>
        <v>272904.63</v>
      </c>
      <c r="K320" s="202">
        <v>294905.95</v>
      </c>
      <c r="L320" s="171">
        <v>0</v>
      </c>
      <c r="M320" s="197">
        <v>260355.60000000003</v>
      </c>
      <c r="N320" s="171">
        <f t="shared" si="123"/>
        <v>260355.60000000003</v>
      </c>
      <c r="O320" s="202">
        <v>270285.55</v>
      </c>
      <c r="P320" s="238">
        <v>0</v>
      </c>
      <c r="Q320" s="197">
        <v>286034.68999999994</v>
      </c>
      <c r="R320" s="171">
        <f t="shared" si="124"/>
        <v>286034.68999999994</v>
      </c>
      <c r="S320" s="202">
        <v>296212.93</v>
      </c>
      <c r="T320" s="238">
        <v>0</v>
      </c>
      <c r="U320" s="238">
        <v>293748.42</v>
      </c>
      <c r="V320" s="171">
        <f t="shared" si="125"/>
        <v>293748.42</v>
      </c>
      <c r="W320" s="56">
        <v>259378.59999999992</v>
      </c>
      <c r="X320" s="568">
        <f t="shared" si="103"/>
        <v>34369.820000000065</v>
      </c>
      <c r="Y320" s="569">
        <v>308851.41000000003</v>
      </c>
      <c r="Z320" s="171">
        <f t="shared" si="126"/>
        <v>343221.2300000001</v>
      </c>
      <c r="AA320" s="48">
        <v>327748.44999999984</v>
      </c>
      <c r="AB320" s="238">
        <f t="shared" si="104"/>
        <v>15472.780000000261</v>
      </c>
      <c r="AC320" s="238">
        <v>332100.15000000002</v>
      </c>
      <c r="AD320" s="171">
        <f t="shared" si="127"/>
        <v>347572.93000000028</v>
      </c>
      <c r="AE320" s="238"/>
      <c r="AF320" s="238">
        <f t="shared" si="105"/>
        <v>0</v>
      </c>
      <c r="AG320" s="196">
        <v>313</v>
      </c>
      <c r="AH320" s="73" t="s">
        <v>613</v>
      </c>
      <c r="AI320" s="139" t="s">
        <v>803</v>
      </c>
      <c r="AJ320" s="238">
        <f t="shared" si="106"/>
        <v>0</v>
      </c>
      <c r="AK320" s="238"/>
      <c r="AL320" s="358" t="s">
        <v>613</v>
      </c>
      <c r="AM320" s="48">
        <v>327748.44999999984</v>
      </c>
      <c r="AN320" s="238" t="s">
        <v>613</v>
      </c>
      <c r="AO320" s="238">
        <v>332100.15000000002</v>
      </c>
      <c r="AQ320" s="472">
        <f t="shared" si="107"/>
        <v>0</v>
      </c>
      <c r="AS320" t="s">
        <v>613</v>
      </c>
      <c r="AT320" t="s">
        <v>1889</v>
      </c>
      <c r="AU320" s="48">
        <v>223592.45</v>
      </c>
      <c r="AV320" s="48">
        <v>17983.79</v>
      </c>
      <c r="AW320" s="48">
        <v>8092.31</v>
      </c>
      <c r="AX320" s="48">
        <v>0</v>
      </c>
      <c r="AY320" s="48">
        <v>49252.959999999999</v>
      </c>
      <c r="AZ320" s="48">
        <v>18174.95</v>
      </c>
      <c r="BA320" s="48">
        <v>8366.73</v>
      </c>
      <c r="BB320" s="48">
        <v>5156.9399999999996</v>
      </c>
      <c r="BC320" s="48">
        <v>1480.02</v>
      </c>
      <c r="BD320" s="48">
        <v>0</v>
      </c>
      <c r="BE320" s="48"/>
      <c r="BF320" s="48">
        <f t="shared" si="128"/>
        <v>332100.15000000002</v>
      </c>
      <c r="BG320" s="48"/>
      <c r="BH320" s="48"/>
      <c r="BI320" s="48" t="str">
        <f t="shared" si="129"/>
        <v>32363</v>
      </c>
      <c r="BJ320" s="48">
        <f t="shared" si="130"/>
        <v>332100.15000000002</v>
      </c>
      <c r="BK320" s="628">
        <f t="shared" si="110"/>
        <v>0</v>
      </c>
    </row>
    <row r="321" spans="1:63">
      <c r="A321" s="196">
        <v>314</v>
      </c>
      <c r="B321" s="73" t="s">
        <v>736</v>
      </c>
      <c r="C321" s="139" t="s">
        <v>808</v>
      </c>
      <c r="D321" s="168">
        <v>33571.53</v>
      </c>
      <c r="E321" s="170">
        <v>348179.93</v>
      </c>
      <c r="F321" s="171">
        <f t="shared" si="121"/>
        <v>381751.45999999996</v>
      </c>
      <c r="G321" s="181">
        <v>290175.25</v>
      </c>
      <c r="H321" s="179">
        <v>91576.209999999963</v>
      </c>
      <c r="I321" s="170">
        <v>482195.12</v>
      </c>
      <c r="J321" s="171">
        <f t="shared" si="122"/>
        <v>573771.32999999996</v>
      </c>
      <c r="K321" s="202">
        <v>573771.33000000007</v>
      </c>
      <c r="L321" s="171">
        <v>0</v>
      </c>
      <c r="M321" s="197">
        <v>499602.16</v>
      </c>
      <c r="N321" s="171">
        <f t="shared" si="123"/>
        <v>499602.16</v>
      </c>
      <c r="O321" s="202">
        <v>499619.15</v>
      </c>
      <c r="P321" s="238">
        <v>0</v>
      </c>
      <c r="Q321" s="197">
        <v>547075.52999999991</v>
      </c>
      <c r="R321" s="171">
        <f t="shared" si="124"/>
        <v>547075.52999999991</v>
      </c>
      <c r="S321" s="202">
        <v>554375.53</v>
      </c>
      <c r="T321" s="238">
        <v>0</v>
      </c>
      <c r="U321" s="238">
        <v>555067.79</v>
      </c>
      <c r="V321" s="171">
        <f t="shared" si="125"/>
        <v>555067.79</v>
      </c>
      <c r="W321" s="56">
        <v>658309.35000000021</v>
      </c>
      <c r="X321" s="568">
        <f t="shared" si="103"/>
        <v>0</v>
      </c>
      <c r="Y321" s="569">
        <v>577378.86</v>
      </c>
      <c r="Z321" s="171">
        <f t="shared" si="126"/>
        <v>577378.86</v>
      </c>
      <c r="AA321" s="48">
        <v>717542.88</v>
      </c>
      <c r="AB321" s="238">
        <f t="shared" si="104"/>
        <v>0</v>
      </c>
      <c r="AC321" s="238">
        <v>589646.28000000014</v>
      </c>
      <c r="AD321" s="171">
        <f t="shared" si="127"/>
        <v>589646.28000000014</v>
      </c>
      <c r="AE321" s="238"/>
      <c r="AF321" s="238">
        <f t="shared" si="105"/>
        <v>0</v>
      </c>
      <c r="AG321" s="196">
        <v>314</v>
      </c>
      <c r="AH321" s="73" t="s">
        <v>736</v>
      </c>
      <c r="AI321" s="139" t="s">
        <v>808</v>
      </c>
      <c r="AJ321" s="238">
        <f t="shared" si="106"/>
        <v>0</v>
      </c>
      <c r="AK321" s="238"/>
      <c r="AL321" s="358" t="s">
        <v>736</v>
      </c>
      <c r="AM321" s="48">
        <v>717542.88</v>
      </c>
      <c r="AN321" s="238" t="s">
        <v>736</v>
      </c>
      <c r="AO321" s="238">
        <v>589646.28000000014</v>
      </c>
      <c r="AQ321" s="472">
        <f t="shared" si="107"/>
        <v>0</v>
      </c>
      <c r="AS321" t="s">
        <v>736</v>
      </c>
      <c r="AT321" t="s">
        <v>1955</v>
      </c>
      <c r="AU321" s="48">
        <v>388677.88</v>
      </c>
      <c r="AV321" s="48">
        <v>29672.86</v>
      </c>
      <c r="AW321" s="48">
        <v>26069.94</v>
      </c>
      <c r="AX321" s="48">
        <v>0</v>
      </c>
      <c r="AY321" s="48">
        <v>85804.33</v>
      </c>
      <c r="AZ321" s="48">
        <v>26298.11</v>
      </c>
      <c r="BA321" s="48">
        <v>13343.31</v>
      </c>
      <c r="BB321" s="48">
        <v>13528.31</v>
      </c>
      <c r="BC321" s="48">
        <v>2354.15</v>
      </c>
      <c r="BD321" s="48">
        <v>3897.39</v>
      </c>
      <c r="BE321" s="48"/>
      <c r="BF321" s="48">
        <f t="shared" si="128"/>
        <v>589646.28000000014</v>
      </c>
      <c r="BG321" s="48"/>
      <c r="BH321" s="48"/>
      <c r="BI321" s="48" t="str">
        <f t="shared" si="129"/>
        <v>39208</v>
      </c>
      <c r="BJ321" s="48">
        <f t="shared" si="130"/>
        <v>589646.28000000014</v>
      </c>
      <c r="BK321" s="628">
        <f t="shared" si="110"/>
        <v>0</v>
      </c>
    </row>
    <row r="322" spans="1:63">
      <c r="A322" s="196">
        <v>315</v>
      </c>
      <c r="B322" s="199" t="s">
        <v>1639</v>
      </c>
      <c r="C322" s="73" t="s">
        <v>1642</v>
      </c>
      <c r="D322" s="168"/>
      <c r="E322" s="170"/>
      <c r="F322" s="171"/>
      <c r="G322" s="181"/>
      <c r="H322" s="179"/>
      <c r="I322" s="170"/>
      <c r="J322" s="171"/>
      <c r="K322" s="202"/>
      <c r="L322" s="171">
        <v>0</v>
      </c>
      <c r="M322" s="197">
        <v>14594.77</v>
      </c>
      <c r="N322" s="171">
        <f t="shared" si="123"/>
        <v>14594.77</v>
      </c>
      <c r="O322" s="202">
        <v>13884.75</v>
      </c>
      <c r="P322" s="238">
        <v>710.02000000000044</v>
      </c>
      <c r="Q322" s="197">
        <v>16162.54</v>
      </c>
      <c r="R322" s="171">
        <f t="shared" si="124"/>
        <v>16872.560000000001</v>
      </c>
      <c r="S322" s="202">
        <v>0</v>
      </c>
      <c r="T322" s="238">
        <v>16872.560000000001</v>
      </c>
      <c r="U322" s="238">
        <v>15738.35</v>
      </c>
      <c r="V322" s="171">
        <f t="shared" si="125"/>
        <v>32610.910000000003</v>
      </c>
      <c r="W322" s="56">
        <v>27385.52</v>
      </c>
      <c r="X322" s="568">
        <f t="shared" si="103"/>
        <v>5225.3900000000031</v>
      </c>
      <c r="Y322" s="569">
        <v>16816.41</v>
      </c>
      <c r="Z322" s="171">
        <f t="shared" si="126"/>
        <v>22041.800000000003</v>
      </c>
      <c r="AA322" s="48"/>
      <c r="AB322" s="238">
        <f t="shared" si="104"/>
        <v>22041.800000000003</v>
      </c>
      <c r="AC322" s="238">
        <v>17523.7</v>
      </c>
      <c r="AD322" s="171">
        <f t="shared" si="127"/>
        <v>39565.5</v>
      </c>
      <c r="AE322" s="238"/>
      <c r="AF322" s="238">
        <f t="shared" si="105"/>
        <v>0</v>
      </c>
      <c r="AG322" s="196">
        <v>315</v>
      </c>
      <c r="AH322" s="199" t="s">
        <v>1639</v>
      </c>
      <c r="AI322" s="73" t="s">
        <v>1642</v>
      </c>
      <c r="AJ322" s="238">
        <f t="shared" si="106"/>
        <v>0</v>
      </c>
      <c r="AK322" s="238"/>
      <c r="AL322" s="199" t="s">
        <v>1639</v>
      </c>
      <c r="AM322" s="48"/>
      <c r="AN322" s="238" t="s">
        <v>1639</v>
      </c>
      <c r="AO322" s="238">
        <v>17523.7</v>
      </c>
      <c r="AQ322" s="472">
        <f t="shared" si="107"/>
        <v>0</v>
      </c>
      <c r="AS322" t="s">
        <v>1639</v>
      </c>
      <c r="AT322" t="s">
        <v>1969</v>
      </c>
      <c r="AU322" s="48">
        <v>15005.12</v>
      </c>
      <c r="AV322" s="48">
        <v>0</v>
      </c>
      <c r="AW322" s="48">
        <v>0</v>
      </c>
      <c r="AX322" s="48">
        <v>0</v>
      </c>
      <c r="AY322" s="48">
        <v>2203.1799999999998</v>
      </c>
      <c r="AZ322" s="48">
        <v>264.74</v>
      </c>
      <c r="BA322" s="48">
        <v>0</v>
      </c>
      <c r="BB322" s="48">
        <v>0</v>
      </c>
      <c r="BC322" s="48">
        <v>50.66</v>
      </c>
      <c r="BD322" s="48">
        <v>0</v>
      </c>
      <c r="BE322" s="48"/>
      <c r="BF322" s="48">
        <f t="shared" si="128"/>
        <v>17523.7</v>
      </c>
      <c r="BG322" s="48"/>
      <c r="BH322" s="48"/>
      <c r="BI322" s="48" t="str">
        <f t="shared" si="129"/>
        <v>37902</v>
      </c>
      <c r="BJ322" s="48">
        <f t="shared" si="130"/>
        <v>17523.7</v>
      </c>
      <c r="BK322" s="628">
        <f t="shared" si="110"/>
        <v>0</v>
      </c>
    </row>
    <row r="323" spans="1:63">
      <c r="A323" s="196">
        <v>316</v>
      </c>
      <c r="B323" s="73" t="s">
        <v>438</v>
      </c>
      <c r="C323" s="139" t="s">
        <v>439</v>
      </c>
      <c r="D323" s="168">
        <v>1412.7900000000009</v>
      </c>
      <c r="E323" s="170">
        <v>26671.760000000002</v>
      </c>
      <c r="F323" s="171">
        <f>+D323+E323</f>
        <v>28084.550000000003</v>
      </c>
      <c r="G323" s="181"/>
      <c r="H323" s="178">
        <v>28084.550000000003</v>
      </c>
      <c r="I323" s="170">
        <v>35343.94</v>
      </c>
      <c r="J323" s="171">
        <f>+H323+I323</f>
        <v>63428.490000000005</v>
      </c>
      <c r="K323" s="202">
        <v>40602.979999999996</v>
      </c>
      <c r="L323" s="171">
        <v>22825.510000000009</v>
      </c>
      <c r="M323" s="197">
        <v>36947.75</v>
      </c>
      <c r="N323" s="171">
        <f t="shared" si="123"/>
        <v>59773.260000000009</v>
      </c>
      <c r="O323" s="202">
        <v>36627.79</v>
      </c>
      <c r="P323" s="238">
        <v>23145.470000000008</v>
      </c>
      <c r="Q323" s="197">
        <v>40848.85</v>
      </c>
      <c r="R323" s="171">
        <f t="shared" si="124"/>
        <v>63994.320000000007</v>
      </c>
      <c r="S323" s="202">
        <v>3442.48</v>
      </c>
      <c r="T323" s="238">
        <v>60551.840000000004</v>
      </c>
      <c r="U323" s="238">
        <v>43167.42</v>
      </c>
      <c r="V323" s="171">
        <f t="shared" si="125"/>
        <v>103719.26000000001</v>
      </c>
      <c r="W323" s="56">
        <v>19567.7</v>
      </c>
      <c r="X323" s="568">
        <f t="shared" si="103"/>
        <v>84151.560000000012</v>
      </c>
      <c r="Y323" s="569">
        <v>46987.03</v>
      </c>
      <c r="Z323" s="171">
        <f t="shared" si="126"/>
        <v>131138.59000000003</v>
      </c>
      <c r="AA323" s="48">
        <v>19435.79</v>
      </c>
      <c r="AB323" s="238">
        <f t="shared" si="104"/>
        <v>111702.80000000002</v>
      </c>
      <c r="AC323" s="238">
        <v>45714.210000000006</v>
      </c>
      <c r="AD323" s="171">
        <f t="shared" si="127"/>
        <v>157417.01</v>
      </c>
      <c r="AE323" s="238"/>
      <c r="AF323" s="238">
        <f t="shared" si="105"/>
        <v>0</v>
      </c>
      <c r="AG323" s="196">
        <v>316</v>
      </c>
      <c r="AH323" s="73" t="s">
        <v>438</v>
      </c>
      <c r="AI323" s="139" t="s">
        <v>439</v>
      </c>
      <c r="AJ323" s="238">
        <f t="shared" si="106"/>
        <v>0</v>
      </c>
      <c r="AK323" s="238"/>
      <c r="AL323" s="358" t="s">
        <v>438</v>
      </c>
      <c r="AM323" s="48">
        <v>19435.79</v>
      </c>
      <c r="AN323" s="238" t="s">
        <v>438</v>
      </c>
      <c r="AO323" s="238">
        <v>45714.210000000006</v>
      </c>
      <c r="AQ323" s="472">
        <f t="shared" si="107"/>
        <v>0</v>
      </c>
      <c r="AS323" t="s">
        <v>438</v>
      </c>
      <c r="AT323" t="s">
        <v>1802</v>
      </c>
      <c r="AU323" s="48">
        <v>34671</v>
      </c>
      <c r="AV323" s="48">
        <v>1264.18</v>
      </c>
      <c r="AW323" s="48">
        <v>638.26</v>
      </c>
      <c r="AX323" s="48">
        <v>0</v>
      </c>
      <c r="AY323" s="48">
        <v>5018.29</v>
      </c>
      <c r="AZ323" s="48">
        <v>2395.7800000000002</v>
      </c>
      <c r="BA323" s="48">
        <v>1577.15</v>
      </c>
      <c r="BB323" s="48">
        <v>0</v>
      </c>
      <c r="BC323" s="48">
        <v>149.55000000000001</v>
      </c>
      <c r="BD323" s="48">
        <v>0</v>
      </c>
      <c r="BE323" s="48"/>
      <c r="BF323" s="48">
        <f t="shared" si="128"/>
        <v>45714.210000000006</v>
      </c>
      <c r="BG323" s="48"/>
      <c r="BH323" s="48"/>
      <c r="BI323" s="48" t="str">
        <f t="shared" si="129"/>
        <v>21303</v>
      </c>
      <c r="BJ323" s="48">
        <f t="shared" si="130"/>
        <v>45714.210000000006</v>
      </c>
      <c r="BK323" s="628">
        <f t="shared" si="110"/>
        <v>0</v>
      </c>
    </row>
    <row r="324" spans="1:63">
      <c r="A324" s="196">
        <v>317</v>
      </c>
      <c r="B324" s="73" t="s">
        <v>531</v>
      </c>
      <c r="C324" s="139" t="s">
        <v>532</v>
      </c>
      <c r="D324" s="168">
        <v>0</v>
      </c>
      <c r="E324" s="170">
        <v>242561.03999999998</v>
      </c>
      <c r="F324" s="171">
        <f>+D324+E324</f>
        <v>242561.03999999998</v>
      </c>
      <c r="G324" s="181">
        <v>302712.44</v>
      </c>
      <c r="H324" s="178">
        <v>0</v>
      </c>
      <c r="I324" s="170">
        <v>354901.69999999995</v>
      </c>
      <c r="J324" s="171">
        <f>+H324+I324</f>
        <v>354901.69999999995</v>
      </c>
      <c r="K324" s="202">
        <v>358056.24999999994</v>
      </c>
      <c r="L324" s="171">
        <v>0</v>
      </c>
      <c r="M324" s="197">
        <v>382461.42</v>
      </c>
      <c r="N324" s="171">
        <f t="shared" si="123"/>
        <v>382461.42</v>
      </c>
      <c r="O324" s="202">
        <v>624335.43999999994</v>
      </c>
      <c r="P324" s="238">
        <v>0</v>
      </c>
      <c r="Q324" s="197">
        <v>422148.95999999996</v>
      </c>
      <c r="R324" s="171">
        <f t="shared" si="124"/>
        <v>422148.95999999996</v>
      </c>
      <c r="S324" s="202">
        <v>515879.1999999999</v>
      </c>
      <c r="T324" s="238">
        <v>0</v>
      </c>
      <c r="U324" s="238">
        <v>451901.42000000004</v>
      </c>
      <c r="V324" s="171">
        <f t="shared" si="125"/>
        <v>451901.42000000004</v>
      </c>
      <c r="W324" s="56">
        <v>452936.83</v>
      </c>
      <c r="X324" s="568">
        <f t="shared" si="103"/>
        <v>0</v>
      </c>
      <c r="Y324" s="569">
        <v>477299.60999999993</v>
      </c>
      <c r="Z324" s="171">
        <f t="shared" si="126"/>
        <v>477299.60999999993</v>
      </c>
      <c r="AA324" s="48">
        <v>483711.59000000008</v>
      </c>
      <c r="AB324" s="238">
        <f t="shared" si="104"/>
        <v>0</v>
      </c>
      <c r="AC324" s="238">
        <v>475098.11999999994</v>
      </c>
      <c r="AD324" s="171">
        <f t="shared" si="127"/>
        <v>475098.11999999994</v>
      </c>
      <c r="AE324" s="238"/>
      <c r="AF324" s="238">
        <f t="shared" si="105"/>
        <v>0</v>
      </c>
      <c r="AG324" s="196">
        <v>317</v>
      </c>
      <c r="AH324" s="73" t="s">
        <v>531</v>
      </c>
      <c r="AI324" s="139" t="s">
        <v>532</v>
      </c>
      <c r="AJ324" s="238">
        <f t="shared" si="106"/>
        <v>0</v>
      </c>
      <c r="AK324" s="238"/>
      <c r="AL324" s="358" t="s">
        <v>531</v>
      </c>
      <c r="AM324" s="48">
        <v>483711.59000000008</v>
      </c>
      <c r="AN324" s="238" t="s">
        <v>531</v>
      </c>
      <c r="AO324" s="238">
        <v>475098.11999999994</v>
      </c>
      <c r="AQ324" s="472">
        <f t="shared" si="107"/>
        <v>0</v>
      </c>
      <c r="AS324" t="s">
        <v>531</v>
      </c>
      <c r="AT324" t="s">
        <v>1847</v>
      </c>
      <c r="AU324" s="48">
        <v>353540.35</v>
      </c>
      <c r="AV324" s="48">
        <v>30873.09</v>
      </c>
      <c r="AW324" s="48">
        <v>2900.69</v>
      </c>
      <c r="AX324" s="48">
        <v>0</v>
      </c>
      <c r="AY324" s="48">
        <v>59327.87</v>
      </c>
      <c r="AZ324" s="48">
        <v>15181.61</v>
      </c>
      <c r="BA324" s="48">
        <v>0</v>
      </c>
      <c r="BB324" s="48">
        <v>6366.79</v>
      </c>
      <c r="BC324" s="48">
        <v>2032.93</v>
      </c>
      <c r="BD324" s="48">
        <v>4874.79</v>
      </c>
      <c r="BE324" s="48"/>
      <c r="BF324" s="48">
        <f t="shared" si="128"/>
        <v>475098.11999999994</v>
      </c>
      <c r="BG324" s="48"/>
      <c r="BH324" s="48"/>
      <c r="BI324" s="48" t="str">
        <f t="shared" si="129"/>
        <v>27416</v>
      </c>
      <c r="BJ324" s="48">
        <f t="shared" si="130"/>
        <v>475098.11999999994</v>
      </c>
      <c r="BK324" s="628">
        <f t="shared" si="110"/>
        <v>0</v>
      </c>
    </row>
    <row r="325" spans="1:63">
      <c r="A325" s="196">
        <v>318</v>
      </c>
      <c r="B325" s="73" t="s">
        <v>412</v>
      </c>
      <c r="C325" s="139" t="s">
        <v>413</v>
      </c>
      <c r="D325" s="168">
        <v>0</v>
      </c>
      <c r="E325" s="170">
        <v>67137.47</v>
      </c>
      <c r="F325" s="171">
        <f>+D325+E325</f>
        <v>67137.47</v>
      </c>
      <c r="G325" s="181">
        <v>75759.95</v>
      </c>
      <c r="H325" s="178">
        <v>0</v>
      </c>
      <c r="I325" s="170">
        <v>91465.579999999987</v>
      </c>
      <c r="J325" s="171">
        <f>+H325+I325</f>
        <v>91465.579999999987</v>
      </c>
      <c r="K325" s="202">
        <v>102546.45999999999</v>
      </c>
      <c r="L325" s="171">
        <v>0</v>
      </c>
      <c r="M325" s="197">
        <v>89872.310000000012</v>
      </c>
      <c r="N325" s="171">
        <f t="shared" si="123"/>
        <v>89872.310000000012</v>
      </c>
      <c r="O325" s="202">
        <v>73191.429999999993</v>
      </c>
      <c r="P325" s="238">
        <v>16680.880000000019</v>
      </c>
      <c r="Q325" s="197">
        <v>96582.85</v>
      </c>
      <c r="R325" s="171">
        <f t="shared" si="124"/>
        <v>113263.73000000003</v>
      </c>
      <c r="S325" s="202">
        <v>104990.6</v>
      </c>
      <c r="T325" s="238">
        <v>8273.1300000000192</v>
      </c>
      <c r="U325" s="238">
        <v>98829.6</v>
      </c>
      <c r="V325" s="171">
        <f t="shared" si="125"/>
        <v>107102.73000000003</v>
      </c>
      <c r="W325" s="56">
        <v>96934.44</v>
      </c>
      <c r="X325" s="568">
        <f t="shared" si="103"/>
        <v>10168.290000000023</v>
      </c>
      <c r="Y325" s="569">
        <v>106247.79</v>
      </c>
      <c r="Z325" s="171">
        <f t="shared" si="126"/>
        <v>116416.08000000002</v>
      </c>
      <c r="AA325" s="48">
        <v>97822.279999999984</v>
      </c>
      <c r="AB325" s="238">
        <f t="shared" si="104"/>
        <v>18593.800000000032</v>
      </c>
      <c r="AC325" s="238">
        <v>100363.60999999997</v>
      </c>
      <c r="AD325" s="171">
        <f t="shared" si="127"/>
        <v>118957.41</v>
      </c>
      <c r="AE325" s="238"/>
      <c r="AF325" s="238">
        <f t="shared" si="105"/>
        <v>0</v>
      </c>
      <c r="AG325" s="196">
        <v>318</v>
      </c>
      <c r="AH325" s="73" t="s">
        <v>412</v>
      </c>
      <c r="AI325" s="139" t="s">
        <v>413</v>
      </c>
      <c r="AJ325" s="238">
        <f t="shared" si="106"/>
        <v>0</v>
      </c>
      <c r="AK325" s="238"/>
      <c r="AL325" s="358" t="s">
        <v>412</v>
      </c>
      <c r="AM325" s="48">
        <v>97822.279999999984</v>
      </c>
      <c r="AN325" s="238" t="s">
        <v>412</v>
      </c>
      <c r="AO325" s="238">
        <v>100363.60999999997</v>
      </c>
      <c r="AQ325" s="472">
        <f t="shared" si="107"/>
        <v>0</v>
      </c>
      <c r="AS325" t="s">
        <v>412</v>
      </c>
      <c r="AT325" t="s">
        <v>1789</v>
      </c>
      <c r="AU325" s="48">
        <v>85389.87</v>
      </c>
      <c r="AV325" s="48">
        <v>5228.54</v>
      </c>
      <c r="AW325" s="48">
        <v>0</v>
      </c>
      <c r="AX325" s="48">
        <v>0</v>
      </c>
      <c r="AY325" s="48">
        <v>0</v>
      </c>
      <c r="AZ325" s="48">
        <v>5143.57</v>
      </c>
      <c r="BA325" s="48">
        <v>0</v>
      </c>
      <c r="BB325" s="48">
        <v>4122.2299999999996</v>
      </c>
      <c r="BC325" s="48">
        <v>479.4</v>
      </c>
      <c r="BD325" s="48">
        <v>0</v>
      </c>
      <c r="BE325" s="48"/>
      <c r="BF325" s="48">
        <f t="shared" si="128"/>
        <v>100363.60999999997</v>
      </c>
      <c r="BG325" s="48"/>
      <c r="BH325" s="48"/>
      <c r="BI325" s="48" t="str">
        <f t="shared" si="129"/>
        <v>20405</v>
      </c>
      <c r="BJ325" s="48">
        <f t="shared" si="130"/>
        <v>100363.60999999997</v>
      </c>
      <c r="BK325" s="628">
        <f t="shared" si="110"/>
        <v>0</v>
      </c>
    </row>
    <row r="326" spans="1:63">
      <c r="A326" s="196">
        <v>319</v>
      </c>
      <c r="B326" s="198" t="s">
        <v>1643</v>
      </c>
      <c r="C326" s="73" t="s">
        <v>1644</v>
      </c>
      <c r="D326" s="168"/>
      <c r="E326" s="170"/>
      <c r="F326" s="171"/>
      <c r="G326" s="181"/>
      <c r="H326" s="178"/>
      <c r="I326" s="170"/>
      <c r="J326" s="171"/>
      <c r="K326" s="202"/>
      <c r="L326" s="171">
        <v>0</v>
      </c>
      <c r="M326" s="197">
        <v>18195.05</v>
      </c>
      <c r="N326" s="171">
        <f t="shared" si="123"/>
        <v>18195.05</v>
      </c>
      <c r="O326" s="202">
        <v>16302</v>
      </c>
      <c r="P326" s="238">
        <v>1893.0499999999993</v>
      </c>
      <c r="Q326" s="197">
        <v>22459.079999999998</v>
      </c>
      <c r="R326" s="171">
        <f t="shared" si="124"/>
        <v>24352.129999999997</v>
      </c>
      <c r="S326" s="202">
        <v>0</v>
      </c>
      <c r="T326" s="238">
        <v>24352.129999999997</v>
      </c>
      <c r="U326" s="238">
        <v>22354.25</v>
      </c>
      <c r="V326" s="171">
        <f t="shared" si="125"/>
        <v>46706.38</v>
      </c>
      <c r="W326" s="56">
        <v>46706.369999999995</v>
      </c>
      <c r="X326" s="568">
        <f t="shared" si="103"/>
        <v>1.0000000002037268E-2</v>
      </c>
      <c r="Y326" s="569">
        <v>22970.95</v>
      </c>
      <c r="Z326" s="171">
        <f t="shared" si="126"/>
        <v>22970.960000000003</v>
      </c>
      <c r="AA326" s="48">
        <v>23225.829999999998</v>
      </c>
      <c r="AB326" s="238">
        <f t="shared" si="104"/>
        <v>0</v>
      </c>
      <c r="AC326" s="238">
        <v>19592.37</v>
      </c>
      <c r="AD326" s="171">
        <f t="shared" si="127"/>
        <v>19592.37</v>
      </c>
      <c r="AE326" s="238"/>
      <c r="AF326" s="238">
        <f t="shared" si="105"/>
        <v>0</v>
      </c>
      <c r="AG326" s="196">
        <v>319</v>
      </c>
      <c r="AH326" s="198" t="s">
        <v>1643</v>
      </c>
      <c r="AI326" s="73" t="s">
        <v>1644</v>
      </c>
      <c r="AJ326" s="238">
        <f t="shared" si="106"/>
        <v>0</v>
      </c>
      <c r="AK326" s="238"/>
      <c r="AL326" s="358" t="s">
        <v>1643</v>
      </c>
      <c r="AM326" s="48">
        <v>23225.829999999998</v>
      </c>
      <c r="AN326" s="238" t="s">
        <v>1643</v>
      </c>
      <c r="AO326" s="238">
        <v>19592.37</v>
      </c>
      <c r="AQ326" s="472">
        <f t="shared" si="107"/>
        <v>0</v>
      </c>
      <c r="AS326" t="s">
        <v>1643</v>
      </c>
      <c r="AT326" t="s">
        <v>2392</v>
      </c>
      <c r="AU326" s="48">
        <v>16372.72</v>
      </c>
      <c r="AV326" s="48">
        <v>0</v>
      </c>
      <c r="AW326" s="48">
        <v>0</v>
      </c>
      <c r="AX326" s="48">
        <v>0</v>
      </c>
      <c r="AY326" s="48">
        <v>1122.1300000000001</v>
      </c>
      <c r="AZ326" s="48">
        <v>1140.6300000000001</v>
      </c>
      <c r="BA326" s="48">
        <v>758.6</v>
      </c>
      <c r="BB326" s="48">
        <v>163.72999999999999</v>
      </c>
      <c r="BC326" s="48">
        <v>34.56</v>
      </c>
      <c r="BD326" s="48">
        <v>0</v>
      </c>
      <c r="BE326" s="48"/>
      <c r="BF326" s="48">
        <f t="shared" si="128"/>
        <v>19592.37</v>
      </c>
      <c r="BG326" s="48"/>
      <c r="BH326" s="48"/>
      <c r="BI326" s="48" t="str">
        <f t="shared" si="129"/>
        <v>17917</v>
      </c>
      <c r="BJ326" s="48">
        <f t="shared" si="130"/>
        <v>19592.37</v>
      </c>
      <c r="BK326" s="628">
        <f t="shared" si="110"/>
        <v>0</v>
      </c>
    </row>
    <row r="327" spans="1:63">
      <c r="A327" s="196">
        <v>320</v>
      </c>
      <c r="B327" s="73" t="s">
        <v>452</v>
      </c>
      <c r="C327" s="139" t="s">
        <v>453</v>
      </c>
      <c r="D327" s="168">
        <v>0</v>
      </c>
      <c r="E327" s="170">
        <v>18558.52</v>
      </c>
      <c r="F327" s="171">
        <f t="shared" ref="F327:F337" si="131">+D327+E327</f>
        <v>18558.52</v>
      </c>
      <c r="G327" s="181">
        <v>30144.14</v>
      </c>
      <c r="H327" s="178">
        <v>0</v>
      </c>
      <c r="I327" s="170">
        <v>26452.75</v>
      </c>
      <c r="J327" s="171">
        <f t="shared" ref="J327:J337" si="132">+H327+I327</f>
        <v>26452.75</v>
      </c>
      <c r="K327" s="202">
        <v>27087.199999999997</v>
      </c>
      <c r="L327" s="171">
        <v>0</v>
      </c>
      <c r="M327" s="197">
        <v>26874.14</v>
      </c>
      <c r="N327" s="171">
        <f t="shared" si="123"/>
        <v>26874.14</v>
      </c>
      <c r="O327" s="202">
        <v>31010.09</v>
      </c>
      <c r="P327" s="238">
        <v>0</v>
      </c>
      <c r="Q327" s="197">
        <v>28368.95</v>
      </c>
      <c r="R327" s="171">
        <f t="shared" si="124"/>
        <v>28368.95</v>
      </c>
      <c r="S327" s="202">
        <v>28040.34</v>
      </c>
      <c r="T327" s="238">
        <v>328.61000000000058</v>
      </c>
      <c r="U327" s="238">
        <v>27601.68</v>
      </c>
      <c r="V327" s="171">
        <f t="shared" si="125"/>
        <v>27930.29</v>
      </c>
      <c r="W327" s="56">
        <v>29095.019999999997</v>
      </c>
      <c r="X327" s="568">
        <f t="shared" si="103"/>
        <v>0</v>
      </c>
      <c r="Y327" s="569">
        <v>33972.879999999997</v>
      </c>
      <c r="Z327" s="171">
        <f t="shared" si="126"/>
        <v>33972.879999999997</v>
      </c>
      <c r="AA327" s="48">
        <v>33092.120000000003</v>
      </c>
      <c r="AB327" s="238">
        <f t="shared" si="104"/>
        <v>880.75999999999476</v>
      </c>
      <c r="AC327" s="238">
        <v>36217.060000000005</v>
      </c>
      <c r="AD327" s="171">
        <f t="shared" si="127"/>
        <v>37097.82</v>
      </c>
      <c r="AE327" s="238"/>
      <c r="AF327" s="238">
        <f t="shared" si="105"/>
        <v>0</v>
      </c>
      <c r="AG327" s="196">
        <v>320</v>
      </c>
      <c r="AH327" s="73" t="s">
        <v>452</v>
      </c>
      <c r="AI327" s="139" t="s">
        <v>453</v>
      </c>
      <c r="AJ327" s="238">
        <f t="shared" si="106"/>
        <v>0</v>
      </c>
      <c r="AK327" s="238"/>
      <c r="AL327" s="358" t="s">
        <v>452</v>
      </c>
      <c r="AM327" s="48">
        <v>33092.120000000003</v>
      </c>
      <c r="AN327" s="238" t="s">
        <v>452</v>
      </c>
      <c r="AO327" s="238">
        <v>36217.060000000005</v>
      </c>
      <c r="AQ327" s="472">
        <f t="shared" si="107"/>
        <v>0</v>
      </c>
      <c r="AS327" t="s">
        <v>452</v>
      </c>
      <c r="AT327" t="s">
        <v>1809</v>
      </c>
      <c r="AU327" s="48">
        <v>26695.86</v>
      </c>
      <c r="AV327" s="48">
        <v>1199.43</v>
      </c>
      <c r="AW327" s="48">
        <v>107.91</v>
      </c>
      <c r="AX327" s="48">
        <v>0</v>
      </c>
      <c r="AY327" s="48">
        <v>4834.4799999999996</v>
      </c>
      <c r="AZ327" s="48">
        <v>1006.72</v>
      </c>
      <c r="BA327" s="48">
        <v>545.76</v>
      </c>
      <c r="BB327" s="48">
        <v>0</v>
      </c>
      <c r="BC327" s="48">
        <v>101.75</v>
      </c>
      <c r="BD327" s="48">
        <v>1725.15</v>
      </c>
      <c r="BE327" s="48"/>
      <c r="BF327" s="48">
        <f t="shared" si="128"/>
        <v>36217.060000000005</v>
      </c>
      <c r="BG327" s="48"/>
      <c r="BH327" s="48"/>
      <c r="BI327" s="48" t="str">
        <f t="shared" si="129"/>
        <v>22200</v>
      </c>
      <c r="BJ327" s="48">
        <f t="shared" si="130"/>
        <v>36217.060000000005</v>
      </c>
      <c r="BK327" s="628">
        <f t="shared" si="110"/>
        <v>0</v>
      </c>
    </row>
    <row r="328" spans="1:63">
      <c r="A328" s="196">
        <v>321</v>
      </c>
      <c r="B328" s="73" t="s">
        <v>495</v>
      </c>
      <c r="C328" s="139" t="s">
        <v>496</v>
      </c>
      <c r="D328" s="168">
        <v>0</v>
      </c>
      <c r="E328" s="170">
        <v>24822.100000000002</v>
      </c>
      <c r="F328" s="171">
        <f t="shared" si="131"/>
        <v>24822.100000000002</v>
      </c>
      <c r="G328" s="181">
        <v>9887.2800000000007</v>
      </c>
      <c r="H328" s="178">
        <v>14934.820000000002</v>
      </c>
      <c r="I328" s="170">
        <v>36482.770000000004</v>
      </c>
      <c r="J328" s="171">
        <f t="shared" si="132"/>
        <v>51417.590000000004</v>
      </c>
      <c r="K328" s="202"/>
      <c r="L328" s="171">
        <v>51417.590000000004</v>
      </c>
      <c r="M328" s="197">
        <v>38312.789999999994</v>
      </c>
      <c r="N328" s="171">
        <f t="shared" si="123"/>
        <v>89730.38</v>
      </c>
      <c r="O328" s="202">
        <v>20738.53</v>
      </c>
      <c r="P328" s="238">
        <v>68991.850000000006</v>
      </c>
      <c r="Q328" s="197">
        <v>40386.47</v>
      </c>
      <c r="R328" s="171">
        <f t="shared" si="124"/>
        <v>109378.32</v>
      </c>
      <c r="S328" s="202">
        <v>48813.780000000006</v>
      </c>
      <c r="T328" s="238">
        <v>60564.54</v>
      </c>
      <c r="U328" s="238">
        <v>41497.39</v>
      </c>
      <c r="V328" s="171">
        <f t="shared" si="125"/>
        <v>102061.93</v>
      </c>
      <c r="W328" s="56">
        <v>41808.46</v>
      </c>
      <c r="X328" s="568">
        <f t="shared" ref="X328:X337" si="133">IF(+V328-W328&lt;0,0,(+V328-W328))</f>
        <v>60253.469999999994</v>
      </c>
      <c r="Y328" s="569">
        <v>43517.649999999994</v>
      </c>
      <c r="Z328" s="171">
        <f t="shared" si="126"/>
        <v>103771.12</v>
      </c>
      <c r="AA328" s="48">
        <v>43708.220000000008</v>
      </c>
      <c r="AB328" s="238">
        <f t="shared" ref="AB328:AB337" si="134">IF(+Z328-AA328&lt;0,0,(+Z328-AA328))</f>
        <v>60062.899999999987</v>
      </c>
      <c r="AC328" s="238">
        <v>44878.76</v>
      </c>
      <c r="AD328" s="171">
        <f t="shared" si="127"/>
        <v>104941.65999999999</v>
      </c>
      <c r="AE328" s="238"/>
      <c r="AF328" s="238">
        <f t="shared" ref="AF328:AF337" si="135">+AH328-B328</f>
        <v>0</v>
      </c>
      <c r="AG328" s="196">
        <v>321</v>
      </c>
      <c r="AH328" s="73" t="s">
        <v>495</v>
      </c>
      <c r="AI328" s="139" t="s">
        <v>496</v>
      </c>
      <c r="AJ328" s="238">
        <f t="shared" ref="AJ328:AJ337" si="136">+AL328-B328</f>
        <v>0</v>
      </c>
      <c r="AK328" s="238"/>
      <c r="AL328" s="358" t="s">
        <v>495</v>
      </c>
      <c r="AM328" s="48">
        <v>43708.220000000008</v>
      </c>
      <c r="AN328" s="238" t="s">
        <v>495</v>
      </c>
      <c r="AO328" s="238">
        <v>44878.76</v>
      </c>
      <c r="AQ328" s="472">
        <f t="shared" ref="AQ328:AQ337" si="137">+AS328-B328</f>
        <v>0</v>
      </c>
      <c r="AS328" t="s">
        <v>495</v>
      </c>
      <c r="AT328" t="s">
        <v>1830</v>
      </c>
      <c r="AU328" s="48">
        <v>34826.720000000001</v>
      </c>
      <c r="AV328" s="48">
        <v>2169.16</v>
      </c>
      <c r="AW328" s="48">
        <v>336.08</v>
      </c>
      <c r="AX328" s="48">
        <v>0</v>
      </c>
      <c r="AY328" s="48">
        <v>5847.86</v>
      </c>
      <c r="AZ328" s="48">
        <v>1438.39</v>
      </c>
      <c r="BA328" s="48">
        <v>0</v>
      </c>
      <c r="BB328" s="48">
        <v>98.67</v>
      </c>
      <c r="BC328" s="48">
        <v>161.88</v>
      </c>
      <c r="BD328" s="48">
        <v>0</v>
      </c>
      <c r="BE328" s="48"/>
      <c r="BF328" s="48">
        <f t="shared" si="128"/>
        <v>44878.76</v>
      </c>
      <c r="BG328" s="48"/>
      <c r="BH328" s="48"/>
      <c r="BI328" s="48" t="str">
        <f t="shared" si="129"/>
        <v>25160</v>
      </c>
      <c r="BJ328" s="48">
        <f t="shared" si="130"/>
        <v>44878.76</v>
      </c>
      <c r="BK328" s="628">
        <f t="shared" ref="BK328:BK337" si="138">+BI328-B328</f>
        <v>0</v>
      </c>
    </row>
    <row r="329" spans="1:63">
      <c r="A329" s="196">
        <v>322</v>
      </c>
      <c r="B329" s="73" t="s">
        <v>293</v>
      </c>
      <c r="C329" s="139" t="s">
        <v>294</v>
      </c>
      <c r="D329" s="168">
        <v>7324.8</v>
      </c>
      <c r="E329" s="170">
        <v>15732.810000000001</v>
      </c>
      <c r="F329" s="171">
        <f t="shared" si="131"/>
        <v>23057.61</v>
      </c>
      <c r="G329" s="181"/>
      <c r="H329" s="178">
        <v>23057.61</v>
      </c>
      <c r="I329" s="170">
        <v>23597.29</v>
      </c>
      <c r="J329" s="171">
        <f t="shared" si="132"/>
        <v>46654.9</v>
      </c>
      <c r="K329" s="202">
        <v>7318.880000000001</v>
      </c>
      <c r="L329" s="171">
        <v>39336.020000000004</v>
      </c>
      <c r="M329" s="197">
        <v>22146.560000000001</v>
      </c>
      <c r="N329" s="171">
        <f t="shared" si="123"/>
        <v>61482.58</v>
      </c>
      <c r="O329" s="202">
        <v>7546.2</v>
      </c>
      <c r="P329" s="238">
        <v>53936.380000000005</v>
      </c>
      <c r="Q329" s="197">
        <v>23723.980000000003</v>
      </c>
      <c r="R329" s="171">
        <f t="shared" si="124"/>
        <v>77660.360000000015</v>
      </c>
      <c r="S329" s="202">
        <v>33827.980000000003</v>
      </c>
      <c r="T329" s="238">
        <v>43832.380000000012</v>
      </c>
      <c r="U329" s="238">
        <v>23304.02</v>
      </c>
      <c r="V329" s="171">
        <f t="shared" si="125"/>
        <v>67136.400000000009</v>
      </c>
      <c r="W329" s="56">
        <v>32119.510000000002</v>
      </c>
      <c r="X329" s="568">
        <f t="shared" si="133"/>
        <v>35016.890000000007</v>
      </c>
      <c r="Y329" s="569">
        <v>24944.42</v>
      </c>
      <c r="Z329" s="171">
        <f t="shared" si="126"/>
        <v>59961.310000000005</v>
      </c>
      <c r="AA329" s="48">
        <v>54362.039999999994</v>
      </c>
      <c r="AB329" s="238">
        <f t="shared" si="134"/>
        <v>5599.2700000000114</v>
      </c>
      <c r="AC329" s="238">
        <v>24439.39</v>
      </c>
      <c r="AD329" s="171">
        <f t="shared" si="127"/>
        <v>30038.660000000011</v>
      </c>
      <c r="AE329" s="238"/>
      <c r="AF329" s="238">
        <f t="shared" si="135"/>
        <v>0</v>
      </c>
      <c r="AG329" s="196">
        <v>322</v>
      </c>
      <c r="AH329" s="73" t="s">
        <v>293</v>
      </c>
      <c r="AI329" s="139" t="s">
        <v>294</v>
      </c>
      <c r="AJ329" s="238">
        <f t="shared" si="136"/>
        <v>0</v>
      </c>
      <c r="AK329" s="238"/>
      <c r="AL329" s="358" t="s">
        <v>293</v>
      </c>
      <c r="AM329" s="48">
        <v>54362.039999999994</v>
      </c>
      <c r="AN329" s="238" t="s">
        <v>293</v>
      </c>
      <c r="AO329" s="238">
        <v>24439.39</v>
      </c>
      <c r="AQ329" s="472">
        <f t="shared" si="137"/>
        <v>0</v>
      </c>
      <c r="AS329" t="s">
        <v>293</v>
      </c>
      <c r="AT329" t="s">
        <v>1726</v>
      </c>
      <c r="AU329" s="48">
        <v>20120.57</v>
      </c>
      <c r="AV329" s="48">
        <v>539.59</v>
      </c>
      <c r="AW329" s="48">
        <v>508.75</v>
      </c>
      <c r="AX329" s="48">
        <v>0</v>
      </c>
      <c r="AY329" s="48">
        <v>1852.13</v>
      </c>
      <c r="AZ329" s="48">
        <v>810.93</v>
      </c>
      <c r="BA329" s="48">
        <v>555</v>
      </c>
      <c r="BB329" s="48">
        <v>0</v>
      </c>
      <c r="BC329" s="48">
        <v>52.42</v>
      </c>
      <c r="BD329" s="48">
        <v>0</v>
      </c>
      <c r="BE329" s="48"/>
      <c r="BF329" s="48">
        <f t="shared" si="128"/>
        <v>24439.39</v>
      </c>
      <c r="BG329" s="48"/>
      <c r="BH329" s="48"/>
      <c r="BI329" s="48" t="str">
        <f t="shared" si="129"/>
        <v>13167</v>
      </c>
      <c r="BJ329" s="48">
        <f t="shared" si="130"/>
        <v>24439.39</v>
      </c>
      <c r="BK329" s="628">
        <f t="shared" si="138"/>
        <v>0</v>
      </c>
    </row>
    <row r="330" spans="1:63">
      <c r="A330" s="196">
        <v>323</v>
      </c>
      <c r="B330" s="73" t="s">
        <v>426</v>
      </c>
      <c r="C330" s="139" t="s">
        <v>427</v>
      </c>
      <c r="D330" s="168">
        <v>4035.6600000000071</v>
      </c>
      <c r="E330" s="170">
        <v>50762.05</v>
      </c>
      <c r="F330" s="171">
        <f t="shared" si="131"/>
        <v>54797.710000000006</v>
      </c>
      <c r="G330" s="181">
        <v>19675.82</v>
      </c>
      <c r="H330" s="178">
        <v>35121.890000000007</v>
      </c>
      <c r="I330" s="170">
        <v>74936.73</v>
      </c>
      <c r="J330" s="171">
        <f t="shared" si="132"/>
        <v>110058.62</v>
      </c>
      <c r="K330" s="202">
        <v>21064.78</v>
      </c>
      <c r="L330" s="171">
        <v>88993.84</v>
      </c>
      <c r="M330" s="197">
        <v>80103.51999999999</v>
      </c>
      <c r="N330" s="171">
        <f t="shared" si="123"/>
        <v>169097.36</v>
      </c>
      <c r="O330" s="202">
        <v>25503.879999999997</v>
      </c>
      <c r="P330" s="238">
        <v>143593.47999999998</v>
      </c>
      <c r="Q330" s="197">
        <v>89421.7</v>
      </c>
      <c r="R330" s="171">
        <f t="shared" si="124"/>
        <v>233015.18</v>
      </c>
      <c r="S330" s="202">
        <v>89101.47</v>
      </c>
      <c r="T330" s="238">
        <v>143913.71</v>
      </c>
      <c r="U330" s="238">
        <v>86948.76</v>
      </c>
      <c r="V330" s="171">
        <f t="shared" si="125"/>
        <v>230862.46999999997</v>
      </c>
      <c r="W330" s="56">
        <v>77919.11</v>
      </c>
      <c r="X330" s="568">
        <f t="shared" si="133"/>
        <v>152943.35999999999</v>
      </c>
      <c r="Y330" s="569">
        <v>93140.81</v>
      </c>
      <c r="Z330" s="171">
        <f t="shared" si="126"/>
        <v>246084.16999999998</v>
      </c>
      <c r="AA330" s="48">
        <v>95168.26</v>
      </c>
      <c r="AB330" s="238">
        <f t="shared" si="134"/>
        <v>150915.90999999997</v>
      </c>
      <c r="AC330" s="238">
        <v>90023.349999999991</v>
      </c>
      <c r="AD330" s="171">
        <f t="shared" si="127"/>
        <v>240939.25999999995</v>
      </c>
      <c r="AE330" s="238"/>
      <c r="AF330" s="238">
        <f t="shared" si="135"/>
        <v>0</v>
      </c>
      <c r="AG330" s="196">
        <v>323</v>
      </c>
      <c r="AH330" s="73" t="s">
        <v>426</v>
      </c>
      <c r="AI330" s="139" t="s">
        <v>427</v>
      </c>
      <c r="AJ330" s="238">
        <f t="shared" si="136"/>
        <v>0</v>
      </c>
      <c r="AK330" s="238"/>
      <c r="AL330" s="358" t="s">
        <v>426</v>
      </c>
      <c r="AM330" s="48">
        <v>95168.26</v>
      </c>
      <c r="AN330" s="238" t="s">
        <v>426</v>
      </c>
      <c r="AO330" s="238">
        <v>90023.349999999991</v>
      </c>
      <c r="AQ330" s="472">
        <f t="shared" si="137"/>
        <v>0</v>
      </c>
      <c r="AS330" t="s">
        <v>426</v>
      </c>
      <c r="AT330" t="s">
        <v>1796</v>
      </c>
      <c r="AU330" s="48">
        <v>60053.34</v>
      </c>
      <c r="AV330" s="48">
        <v>4524.8599999999997</v>
      </c>
      <c r="AW330" s="48">
        <v>534.97</v>
      </c>
      <c r="AX330" s="48">
        <v>0</v>
      </c>
      <c r="AY330" s="48">
        <v>10313.49</v>
      </c>
      <c r="AZ330" s="48">
        <v>5600.95</v>
      </c>
      <c r="BA330" s="48">
        <v>3459.54</v>
      </c>
      <c r="BB330" s="48">
        <v>1145.48</v>
      </c>
      <c r="BC330" s="48">
        <v>331.46</v>
      </c>
      <c r="BD330" s="48">
        <v>4059.26</v>
      </c>
      <c r="BE330" s="48"/>
      <c r="BF330" s="48">
        <f t="shared" si="128"/>
        <v>90023.349999999991</v>
      </c>
      <c r="BG330" s="48"/>
      <c r="BH330" s="48"/>
      <c r="BI330" s="48" t="str">
        <f t="shared" si="129"/>
        <v>21232</v>
      </c>
      <c r="BJ330" s="48">
        <f t="shared" si="130"/>
        <v>90023.349999999991</v>
      </c>
      <c r="BK330" s="628">
        <f t="shared" si="138"/>
        <v>0</v>
      </c>
    </row>
    <row r="331" spans="1:63">
      <c r="A331" s="196">
        <v>324</v>
      </c>
      <c r="B331" s="73" t="s">
        <v>316</v>
      </c>
      <c r="C331" s="139" t="s">
        <v>317</v>
      </c>
      <c r="D331" s="168">
        <v>0</v>
      </c>
      <c r="E331" s="170">
        <v>15405.039999999999</v>
      </c>
      <c r="F331" s="171">
        <f t="shared" si="131"/>
        <v>15405.039999999999</v>
      </c>
      <c r="G331" s="181">
        <v>14086.17</v>
      </c>
      <c r="H331" s="178">
        <v>1318.869999999999</v>
      </c>
      <c r="I331" s="170">
        <v>23310.42</v>
      </c>
      <c r="J331" s="171">
        <f t="shared" si="132"/>
        <v>24629.289999999997</v>
      </c>
      <c r="K331" s="202">
        <v>27392.68</v>
      </c>
      <c r="L331" s="171">
        <v>0</v>
      </c>
      <c r="M331" s="197">
        <v>24638.28</v>
      </c>
      <c r="N331" s="171">
        <f t="shared" si="123"/>
        <v>24638.28</v>
      </c>
      <c r="O331" s="202">
        <v>28714.100000000002</v>
      </c>
      <c r="P331" s="238">
        <v>0</v>
      </c>
      <c r="Q331" s="197">
        <v>26688.449999999997</v>
      </c>
      <c r="R331" s="171">
        <f t="shared" si="124"/>
        <v>26688.449999999997</v>
      </c>
      <c r="S331" s="202">
        <v>33979.42</v>
      </c>
      <c r="T331" s="238">
        <v>0</v>
      </c>
      <c r="U331" s="238">
        <v>27649.56</v>
      </c>
      <c r="V331" s="171">
        <f t="shared" si="125"/>
        <v>27649.56</v>
      </c>
      <c r="W331" s="56">
        <v>27649.560000000005</v>
      </c>
      <c r="X331" s="568">
        <f t="shared" si="133"/>
        <v>0</v>
      </c>
      <c r="Y331" s="569">
        <v>30589.489999999994</v>
      </c>
      <c r="Z331" s="171">
        <f t="shared" si="126"/>
        <v>30589.489999999994</v>
      </c>
      <c r="AA331" s="48">
        <v>30589.489999999998</v>
      </c>
      <c r="AB331" s="238">
        <f t="shared" si="134"/>
        <v>0</v>
      </c>
      <c r="AC331" s="238">
        <v>30822.28</v>
      </c>
      <c r="AD331" s="171">
        <f t="shared" si="127"/>
        <v>30822.28</v>
      </c>
      <c r="AE331" s="238"/>
      <c r="AF331" s="238">
        <f t="shared" si="135"/>
        <v>0</v>
      </c>
      <c r="AG331" s="196">
        <v>324</v>
      </c>
      <c r="AH331" s="73" t="s">
        <v>316</v>
      </c>
      <c r="AI331" s="139" t="s">
        <v>317</v>
      </c>
      <c r="AJ331" s="238">
        <f t="shared" si="136"/>
        <v>0</v>
      </c>
      <c r="AK331" s="238"/>
      <c r="AL331" s="358" t="s">
        <v>316</v>
      </c>
      <c r="AM331" s="48">
        <v>30589.489999999998</v>
      </c>
      <c r="AN331" s="238" t="s">
        <v>316</v>
      </c>
      <c r="AO331" s="238">
        <v>30822.28</v>
      </c>
      <c r="AQ331" s="472">
        <f t="shared" si="137"/>
        <v>0</v>
      </c>
      <c r="AS331" t="s">
        <v>316</v>
      </c>
      <c r="AT331" t="s">
        <v>1738</v>
      </c>
      <c r="AU331" s="48">
        <v>23322.65</v>
      </c>
      <c r="AV331" s="48">
        <v>1188.6400000000001</v>
      </c>
      <c r="AW331" s="48">
        <v>356.13</v>
      </c>
      <c r="AX331" s="48">
        <v>0</v>
      </c>
      <c r="AY331" s="48">
        <v>3079.6</v>
      </c>
      <c r="AZ331" s="48">
        <v>1032.93</v>
      </c>
      <c r="BA331" s="48">
        <v>789.35</v>
      </c>
      <c r="BB331" s="48">
        <v>0</v>
      </c>
      <c r="BC331" s="48">
        <v>75.55</v>
      </c>
      <c r="BD331" s="48">
        <v>977.43</v>
      </c>
      <c r="BE331" s="48"/>
      <c r="BF331" s="48">
        <f t="shared" si="128"/>
        <v>30822.28</v>
      </c>
      <c r="BG331" s="48"/>
      <c r="BH331" s="48"/>
      <c r="BI331" s="48" t="str">
        <f t="shared" si="129"/>
        <v>14117</v>
      </c>
      <c r="BJ331" s="48">
        <f t="shared" si="130"/>
        <v>30822.28</v>
      </c>
      <c r="BK331" s="628">
        <f t="shared" si="138"/>
        <v>0</v>
      </c>
    </row>
    <row r="332" spans="1:63">
      <c r="A332" s="196">
        <v>325</v>
      </c>
      <c r="B332" s="73" t="s">
        <v>396</v>
      </c>
      <c r="C332" s="139" t="s">
        <v>397</v>
      </c>
      <c r="D332" s="168">
        <v>0</v>
      </c>
      <c r="E332" s="170">
        <v>12053.12</v>
      </c>
      <c r="F332" s="171">
        <f t="shared" si="131"/>
        <v>12053.12</v>
      </c>
      <c r="G332" s="181">
        <v>8072.63</v>
      </c>
      <c r="H332" s="178">
        <v>3980.4900000000007</v>
      </c>
      <c r="I332" s="170">
        <v>18422.939999999999</v>
      </c>
      <c r="J332" s="171">
        <f t="shared" si="132"/>
        <v>22403.43</v>
      </c>
      <c r="K332" s="202">
        <v>12706.75</v>
      </c>
      <c r="L332" s="171">
        <v>9696.68</v>
      </c>
      <c r="M332" s="197">
        <v>18586.23</v>
      </c>
      <c r="N332" s="171">
        <f t="shared" si="123"/>
        <v>28282.91</v>
      </c>
      <c r="O332" s="202">
        <v>19308.12</v>
      </c>
      <c r="P332" s="238">
        <v>8974.7900000000009</v>
      </c>
      <c r="Q332" s="197">
        <v>19703.62</v>
      </c>
      <c r="R332" s="171">
        <f t="shared" si="124"/>
        <v>28678.41</v>
      </c>
      <c r="S332" s="202">
        <v>21013.940000000002</v>
      </c>
      <c r="T332" s="238">
        <v>7664.4699999999975</v>
      </c>
      <c r="U332" s="238">
        <v>21064.83</v>
      </c>
      <c r="V332" s="171">
        <f t="shared" si="125"/>
        <v>28729.3</v>
      </c>
      <c r="W332" s="56">
        <v>25186.68</v>
      </c>
      <c r="X332" s="568">
        <f t="shared" si="133"/>
        <v>3542.619999999999</v>
      </c>
      <c r="Y332" s="569">
        <v>21702.989999999998</v>
      </c>
      <c r="Z332" s="171">
        <f t="shared" si="126"/>
        <v>25245.609999999997</v>
      </c>
      <c r="AA332" s="48">
        <v>17033.439999999999</v>
      </c>
      <c r="AB332" s="238">
        <f t="shared" si="134"/>
        <v>8212.1699999999983</v>
      </c>
      <c r="AC332" s="238">
        <v>21151.94</v>
      </c>
      <c r="AD332" s="171">
        <f t="shared" si="127"/>
        <v>29364.109999999997</v>
      </c>
      <c r="AE332" s="238"/>
      <c r="AF332" s="238">
        <f t="shared" si="135"/>
        <v>0</v>
      </c>
      <c r="AG332" s="196">
        <v>325</v>
      </c>
      <c r="AH332" s="73" t="s">
        <v>396</v>
      </c>
      <c r="AI332" s="139" t="s">
        <v>397</v>
      </c>
      <c r="AJ332" s="238">
        <f t="shared" si="136"/>
        <v>0</v>
      </c>
      <c r="AK332" s="238"/>
      <c r="AL332" s="358" t="s">
        <v>396</v>
      </c>
      <c r="AM332" s="48">
        <v>17033.439999999999</v>
      </c>
      <c r="AN332" s="238" t="s">
        <v>396</v>
      </c>
      <c r="AO332" s="238">
        <v>21151.94</v>
      </c>
      <c r="AQ332" s="472">
        <f t="shared" si="137"/>
        <v>0</v>
      </c>
      <c r="AS332" t="s">
        <v>396</v>
      </c>
      <c r="AT332" t="s">
        <v>1781</v>
      </c>
      <c r="AU332" s="48">
        <v>19046.009999999998</v>
      </c>
      <c r="AV332" s="48">
        <v>619.76</v>
      </c>
      <c r="AW332" s="48">
        <v>195.79</v>
      </c>
      <c r="AX332" s="48">
        <v>0</v>
      </c>
      <c r="AY332" s="48">
        <v>0</v>
      </c>
      <c r="AZ332" s="48">
        <v>844.84</v>
      </c>
      <c r="BA332" s="48">
        <v>410.08</v>
      </c>
      <c r="BB332" s="48">
        <v>0</v>
      </c>
      <c r="BC332" s="48">
        <v>35.46</v>
      </c>
      <c r="BD332" s="48">
        <v>0</v>
      </c>
      <c r="BE332" s="48"/>
      <c r="BF332" s="48">
        <f t="shared" si="128"/>
        <v>21151.94</v>
      </c>
      <c r="BG332" s="48"/>
      <c r="BH332" s="48"/>
      <c r="BI332" s="48" t="str">
        <f t="shared" si="129"/>
        <v>20094</v>
      </c>
      <c r="BJ332" s="48">
        <f t="shared" si="130"/>
        <v>21151.94</v>
      </c>
      <c r="BK332" s="628">
        <f t="shared" si="138"/>
        <v>0</v>
      </c>
    </row>
    <row r="333" spans="1:63">
      <c r="A333" s="196">
        <v>326</v>
      </c>
      <c r="B333" s="73" t="s">
        <v>241</v>
      </c>
      <c r="C333" s="139" t="s">
        <v>242</v>
      </c>
      <c r="D333" s="168">
        <v>0</v>
      </c>
      <c r="E333" s="170">
        <v>148852.97000000003</v>
      </c>
      <c r="F333" s="171">
        <f t="shared" si="131"/>
        <v>148852.97000000003</v>
      </c>
      <c r="G333" s="181">
        <v>146139.03</v>
      </c>
      <c r="H333" s="178">
        <v>2713.9400000000314</v>
      </c>
      <c r="I333" s="170">
        <v>193194.78999999998</v>
      </c>
      <c r="J333" s="171">
        <f t="shared" si="132"/>
        <v>195908.73</v>
      </c>
      <c r="K333" s="202">
        <v>231004.66</v>
      </c>
      <c r="L333" s="171">
        <v>0</v>
      </c>
      <c r="M333" s="197">
        <v>205162.32</v>
      </c>
      <c r="N333" s="171">
        <f t="shared" si="123"/>
        <v>205162.32</v>
      </c>
      <c r="O333" s="202">
        <v>237770.71000000002</v>
      </c>
      <c r="P333" s="238">
        <v>0</v>
      </c>
      <c r="Q333" s="197">
        <v>228743.12</v>
      </c>
      <c r="R333" s="171">
        <f t="shared" si="124"/>
        <v>228743.12</v>
      </c>
      <c r="S333" s="202">
        <v>278726.25</v>
      </c>
      <c r="T333" s="238">
        <v>0</v>
      </c>
      <c r="U333" s="238">
        <v>232695.49</v>
      </c>
      <c r="V333" s="171">
        <f t="shared" si="125"/>
        <v>232695.49</v>
      </c>
      <c r="W333" s="56">
        <v>243480.63000000006</v>
      </c>
      <c r="X333" s="568">
        <f t="shared" si="133"/>
        <v>0</v>
      </c>
      <c r="Y333" s="569">
        <v>250591.33000000002</v>
      </c>
      <c r="Z333" s="171">
        <f t="shared" si="126"/>
        <v>250591.33000000002</v>
      </c>
      <c r="AA333" s="48">
        <v>253452.84</v>
      </c>
      <c r="AB333" s="238">
        <f t="shared" si="134"/>
        <v>0</v>
      </c>
      <c r="AC333" s="238">
        <v>241127.05000000002</v>
      </c>
      <c r="AD333" s="171">
        <f t="shared" si="127"/>
        <v>241127.05000000002</v>
      </c>
      <c r="AE333" s="238"/>
      <c r="AF333" s="238">
        <f t="shared" si="135"/>
        <v>0</v>
      </c>
      <c r="AG333" s="196">
        <v>326</v>
      </c>
      <c r="AH333" s="73" t="s">
        <v>241</v>
      </c>
      <c r="AI333" s="139" t="s">
        <v>242</v>
      </c>
      <c r="AJ333" s="238">
        <f t="shared" si="136"/>
        <v>0</v>
      </c>
      <c r="AK333" s="238"/>
      <c r="AL333" s="358" t="s">
        <v>241</v>
      </c>
      <c r="AM333" s="48">
        <v>253452.84</v>
      </c>
      <c r="AN333" s="238" t="s">
        <v>241</v>
      </c>
      <c r="AO333" s="238">
        <v>241127.05000000002</v>
      </c>
      <c r="AQ333" s="472">
        <f t="shared" si="137"/>
        <v>0</v>
      </c>
      <c r="AS333" t="s">
        <v>241</v>
      </c>
      <c r="AT333" t="s">
        <v>1700</v>
      </c>
      <c r="AU333" s="48">
        <v>182952.03</v>
      </c>
      <c r="AV333" s="48">
        <v>7045.51</v>
      </c>
      <c r="AW333" s="48">
        <v>676.8</v>
      </c>
      <c r="AX333" s="48">
        <v>0</v>
      </c>
      <c r="AY333" s="48">
        <v>32122.04</v>
      </c>
      <c r="AZ333" s="48">
        <v>11029.23</v>
      </c>
      <c r="BA333" s="48">
        <v>1564.82</v>
      </c>
      <c r="BB333" s="48">
        <v>4712.9399999999996</v>
      </c>
      <c r="BC333" s="48">
        <v>1023.68</v>
      </c>
      <c r="BD333" s="48">
        <v>0</v>
      </c>
      <c r="BE333" s="48"/>
      <c r="BF333" s="48">
        <f t="shared" si="128"/>
        <v>241127.05000000002</v>
      </c>
      <c r="BG333" s="48"/>
      <c r="BH333" s="48"/>
      <c r="BI333" s="48" t="str">
        <f t="shared" si="129"/>
        <v>08404</v>
      </c>
      <c r="BJ333" s="48">
        <f t="shared" si="130"/>
        <v>241127.05000000002</v>
      </c>
      <c r="BK333" s="628">
        <f t="shared" si="138"/>
        <v>0</v>
      </c>
    </row>
    <row r="334" spans="1:63">
      <c r="A334" s="196">
        <v>327</v>
      </c>
      <c r="B334" s="73" t="s">
        <v>1510</v>
      </c>
      <c r="C334" s="475" t="s">
        <v>1547</v>
      </c>
      <c r="D334" s="168">
        <v>0</v>
      </c>
      <c r="E334" s="170">
        <v>11818.29</v>
      </c>
      <c r="F334" s="171">
        <f t="shared" si="131"/>
        <v>11818.29</v>
      </c>
      <c r="G334" s="181"/>
      <c r="H334" s="178">
        <v>11818.29</v>
      </c>
      <c r="I334" s="170">
        <v>16971.89</v>
      </c>
      <c r="J334" s="171">
        <f t="shared" si="132"/>
        <v>28790.18</v>
      </c>
      <c r="K334" s="202"/>
      <c r="L334" s="171">
        <v>28790.18</v>
      </c>
      <c r="M334" s="197">
        <v>19248.71</v>
      </c>
      <c r="N334" s="171">
        <f t="shared" si="123"/>
        <v>48038.89</v>
      </c>
      <c r="O334" s="79"/>
      <c r="P334" s="238">
        <v>48038.89</v>
      </c>
      <c r="Q334" s="197">
        <v>19580.53</v>
      </c>
      <c r="R334" s="171">
        <f t="shared" si="124"/>
        <v>67619.42</v>
      </c>
      <c r="S334" s="202">
        <v>0</v>
      </c>
      <c r="T334" s="238">
        <v>67619.42</v>
      </c>
      <c r="U334" s="238">
        <v>21062.93</v>
      </c>
      <c r="V334" s="171">
        <f t="shared" si="125"/>
        <v>88682.35</v>
      </c>
      <c r="W334" s="79"/>
      <c r="X334" s="568">
        <f t="shared" si="133"/>
        <v>88682.35</v>
      </c>
      <c r="Y334" s="569">
        <v>12086.42</v>
      </c>
      <c r="Z334" s="171">
        <f t="shared" si="126"/>
        <v>100768.77</v>
      </c>
      <c r="AA334" s="48">
        <v>10195</v>
      </c>
      <c r="AB334" s="238">
        <f t="shared" si="134"/>
        <v>90573.77</v>
      </c>
      <c r="AC334" s="238">
        <v>10851.21</v>
      </c>
      <c r="AD334" s="171">
        <f t="shared" si="127"/>
        <v>101424.98000000001</v>
      </c>
      <c r="AE334" s="238"/>
      <c r="AF334" s="238">
        <f t="shared" si="135"/>
        <v>0</v>
      </c>
      <c r="AG334" s="196">
        <v>327</v>
      </c>
      <c r="AH334" s="73" t="s">
        <v>1510</v>
      </c>
      <c r="AI334" s="475" t="s">
        <v>1547</v>
      </c>
      <c r="AJ334" s="238">
        <f t="shared" si="136"/>
        <v>0</v>
      </c>
      <c r="AK334" s="238"/>
      <c r="AL334" s="358" t="s">
        <v>1510</v>
      </c>
      <c r="AM334" s="48">
        <v>10195</v>
      </c>
      <c r="AN334" s="238" t="s">
        <v>1510</v>
      </c>
      <c r="AO334" s="238">
        <v>10851.21</v>
      </c>
      <c r="AQ334" s="472">
        <f t="shared" si="137"/>
        <v>0</v>
      </c>
      <c r="AS334" t="s">
        <v>1510</v>
      </c>
      <c r="AT334" t="s">
        <v>1957</v>
      </c>
      <c r="AU334" s="48">
        <v>8425.32</v>
      </c>
      <c r="AV334" s="48">
        <v>0</v>
      </c>
      <c r="AW334" s="48">
        <v>0</v>
      </c>
      <c r="AX334" s="48">
        <v>0</v>
      </c>
      <c r="AY334" s="48">
        <v>2425.89</v>
      </c>
      <c r="AZ334" s="48">
        <v>0</v>
      </c>
      <c r="BA334" s="48">
        <v>0</v>
      </c>
      <c r="BB334" s="48">
        <v>0</v>
      </c>
      <c r="BC334" s="48">
        <v>0</v>
      </c>
      <c r="BD334" s="48">
        <v>0</v>
      </c>
      <c r="BE334" s="48"/>
      <c r="BF334" s="48">
        <f t="shared" si="128"/>
        <v>10851.21</v>
      </c>
      <c r="BG334" s="48"/>
      <c r="BH334" s="48"/>
      <c r="BI334" s="48" t="str">
        <f t="shared" si="129"/>
        <v>39901</v>
      </c>
      <c r="BJ334" s="48">
        <f t="shared" si="130"/>
        <v>10851.21</v>
      </c>
      <c r="BK334" s="628">
        <f t="shared" si="138"/>
        <v>0</v>
      </c>
    </row>
    <row r="335" spans="1:63">
      <c r="A335" s="196">
        <v>328</v>
      </c>
      <c r="B335" s="73" t="s">
        <v>715</v>
      </c>
      <c r="C335" s="139" t="s">
        <v>716</v>
      </c>
      <c r="D335" s="168">
        <v>550522.31999999995</v>
      </c>
      <c r="E335" s="170">
        <v>1055031.27</v>
      </c>
      <c r="F335" s="171">
        <f t="shared" si="131"/>
        <v>1605553.5899999999</v>
      </c>
      <c r="G335" s="181">
        <v>914261.75</v>
      </c>
      <c r="H335" s="178">
        <v>691291.83999999985</v>
      </c>
      <c r="I335" s="170">
        <v>1558859.4000000001</v>
      </c>
      <c r="J335" s="171">
        <f t="shared" si="132"/>
        <v>2250151.2400000002</v>
      </c>
      <c r="K335" s="202">
        <v>1407944.5999999999</v>
      </c>
      <c r="L335" s="171">
        <v>842206.64000000036</v>
      </c>
      <c r="M335" s="197">
        <v>1601421.48</v>
      </c>
      <c r="N335" s="171">
        <f t="shared" si="123"/>
        <v>2443628.12</v>
      </c>
      <c r="O335" s="202">
        <v>1234307.75</v>
      </c>
      <c r="P335" s="238">
        <v>1209320.3700000001</v>
      </c>
      <c r="Q335" s="197">
        <v>1717221.48</v>
      </c>
      <c r="R335" s="171">
        <f t="shared" si="124"/>
        <v>2926541.85</v>
      </c>
      <c r="S335" s="202">
        <v>1288976.21</v>
      </c>
      <c r="T335" s="238">
        <v>1637565.6400000001</v>
      </c>
      <c r="U335" s="238">
        <v>1746286.7999999998</v>
      </c>
      <c r="V335" s="171">
        <f t="shared" si="125"/>
        <v>3383852.44</v>
      </c>
      <c r="W335" s="56">
        <v>1432108.370000001</v>
      </c>
      <c r="X335" s="568">
        <f t="shared" si="133"/>
        <v>1951744.0699999989</v>
      </c>
      <c r="Y335" s="569">
        <v>1826415.53</v>
      </c>
      <c r="Z335" s="171">
        <f t="shared" si="126"/>
        <v>3778159.5999999987</v>
      </c>
      <c r="AA335" s="48">
        <v>2199881.0100000007</v>
      </c>
      <c r="AB335" s="238">
        <f t="shared" si="134"/>
        <v>1578278.589999998</v>
      </c>
      <c r="AC335" s="238">
        <v>1777881.3000000005</v>
      </c>
      <c r="AD335" s="171">
        <f t="shared" si="127"/>
        <v>3356159.8899999987</v>
      </c>
      <c r="AE335" s="238"/>
      <c r="AF335" s="238">
        <f t="shared" si="135"/>
        <v>0</v>
      </c>
      <c r="AG335" s="196">
        <v>328</v>
      </c>
      <c r="AH335" s="73" t="s">
        <v>715</v>
      </c>
      <c r="AI335" s="139" t="s">
        <v>716</v>
      </c>
      <c r="AJ335" s="238">
        <f t="shared" si="136"/>
        <v>0</v>
      </c>
      <c r="AK335" s="238"/>
      <c r="AL335" s="358" t="s">
        <v>715</v>
      </c>
      <c r="AM335" s="48">
        <v>2199881.0100000007</v>
      </c>
      <c r="AN335" s="238" t="s">
        <v>715</v>
      </c>
      <c r="AO335" s="238">
        <v>1777881.3000000005</v>
      </c>
      <c r="AQ335" s="472">
        <f t="shared" si="137"/>
        <v>0</v>
      </c>
      <c r="AS335" t="s">
        <v>715</v>
      </c>
      <c r="AT335" t="s">
        <v>1944</v>
      </c>
      <c r="AU335" s="48">
        <v>1057230.5900000001</v>
      </c>
      <c r="AV335" s="48">
        <v>81818.880000000005</v>
      </c>
      <c r="AW335" s="48">
        <v>45794.28</v>
      </c>
      <c r="AX335" s="48">
        <v>52821.3</v>
      </c>
      <c r="AY335" s="48">
        <v>218162.39</v>
      </c>
      <c r="AZ335" s="48">
        <v>128838.81</v>
      </c>
      <c r="BA335" s="48">
        <v>66936.98</v>
      </c>
      <c r="BB335" s="48">
        <v>119617.98</v>
      </c>
      <c r="BC335" s="48">
        <v>6660.09</v>
      </c>
      <c r="BD335" s="48">
        <v>0</v>
      </c>
      <c r="BE335" s="48"/>
      <c r="BF335" s="48">
        <f t="shared" si="128"/>
        <v>1777881.3000000005</v>
      </c>
      <c r="BG335" s="48"/>
      <c r="BH335" s="48"/>
      <c r="BI335" s="48" t="str">
        <f t="shared" si="129"/>
        <v>39007</v>
      </c>
      <c r="BJ335" s="48">
        <f t="shared" si="130"/>
        <v>1777881.3000000005</v>
      </c>
      <c r="BK335" s="628">
        <f t="shared" si="138"/>
        <v>0</v>
      </c>
    </row>
    <row r="336" spans="1:63">
      <c r="A336" s="196">
        <v>329</v>
      </c>
      <c r="B336" s="73" t="s">
        <v>640</v>
      </c>
      <c r="C336" s="139" t="s">
        <v>641</v>
      </c>
      <c r="D336" s="168">
        <v>20102.809999999998</v>
      </c>
      <c r="E336" s="170">
        <v>346207.02999999997</v>
      </c>
      <c r="F336" s="171">
        <f t="shared" si="131"/>
        <v>366309.83999999997</v>
      </c>
      <c r="G336" s="181">
        <v>327404.82</v>
      </c>
      <c r="H336" s="178">
        <v>38905.01999999996</v>
      </c>
      <c r="I336" s="170">
        <v>485864.21</v>
      </c>
      <c r="J336" s="171">
        <f t="shared" si="132"/>
        <v>524769.23</v>
      </c>
      <c r="K336" s="202">
        <v>362239.1</v>
      </c>
      <c r="L336" s="171">
        <v>162530.13</v>
      </c>
      <c r="M336" s="197">
        <v>488495.55000000005</v>
      </c>
      <c r="N336" s="171">
        <f t="shared" si="123"/>
        <v>651025.68000000005</v>
      </c>
      <c r="O336" s="202">
        <v>553069.51</v>
      </c>
      <c r="P336" s="238">
        <v>97956.170000000042</v>
      </c>
      <c r="Q336" s="197">
        <v>548907.31999999995</v>
      </c>
      <c r="R336" s="171">
        <f t="shared" si="124"/>
        <v>646863.49</v>
      </c>
      <c r="S336" s="202">
        <v>538566.99</v>
      </c>
      <c r="T336" s="238">
        <v>108296.5</v>
      </c>
      <c r="U336" s="238">
        <v>606454.88</v>
      </c>
      <c r="V336" s="171">
        <f t="shared" si="125"/>
        <v>714751.38</v>
      </c>
      <c r="W336" s="56">
        <v>653136.04999999993</v>
      </c>
      <c r="X336" s="568">
        <f t="shared" si="133"/>
        <v>61615.330000000075</v>
      </c>
      <c r="Y336" s="569">
        <v>622965.65</v>
      </c>
      <c r="Z336" s="171">
        <f t="shared" si="126"/>
        <v>684580.9800000001</v>
      </c>
      <c r="AA336" s="48">
        <v>564351.7300000001</v>
      </c>
      <c r="AB336" s="238">
        <f t="shared" si="134"/>
        <v>120229.25</v>
      </c>
      <c r="AC336" s="238">
        <v>613376.27</v>
      </c>
      <c r="AD336" s="171">
        <f t="shared" si="127"/>
        <v>733605.52</v>
      </c>
      <c r="AE336" s="238"/>
      <c r="AF336" s="238">
        <f t="shared" si="135"/>
        <v>0</v>
      </c>
      <c r="AG336" s="196">
        <v>329</v>
      </c>
      <c r="AH336" s="73" t="s">
        <v>640</v>
      </c>
      <c r="AI336" s="139" t="s">
        <v>641</v>
      </c>
      <c r="AJ336" s="238">
        <f t="shared" si="136"/>
        <v>0</v>
      </c>
      <c r="AK336" s="238"/>
      <c r="AL336" s="358" t="s">
        <v>640</v>
      </c>
      <c r="AM336" s="48">
        <v>564351.7300000001</v>
      </c>
      <c r="AN336" s="238" t="s">
        <v>640</v>
      </c>
      <c r="AO336" s="238">
        <v>613376.27</v>
      </c>
      <c r="AQ336" s="472">
        <f t="shared" si="137"/>
        <v>0</v>
      </c>
      <c r="AS336" t="s">
        <v>640</v>
      </c>
      <c r="AT336" t="s">
        <v>1904</v>
      </c>
      <c r="AU336" s="48">
        <v>442912.49</v>
      </c>
      <c r="AV336" s="48">
        <v>30732.55</v>
      </c>
      <c r="AW336" s="48">
        <v>8.17</v>
      </c>
      <c r="AX336" s="48">
        <v>0</v>
      </c>
      <c r="AY336" s="48">
        <v>97435.18</v>
      </c>
      <c r="AZ336" s="48">
        <v>27085.040000000001</v>
      </c>
      <c r="BA336" s="48">
        <v>2894.14</v>
      </c>
      <c r="BB336" s="48">
        <v>5713.12</v>
      </c>
      <c r="BC336" s="48">
        <v>2477.4299999999998</v>
      </c>
      <c r="BD336" s="48">
        <v>4118.1499999999996</v>
      </c>
      <c r="BE336" s="48"/>
      <c r="BF336" s="48">
        <f t="shared" si="128"/>
        <v>613376.27</v>
      </c>
      <c r="BG336" s="48"/>
      <c r="BH336" s="48"/>
      <c r="BI336" s="48" t="str">
        <f t="shared" si="129"/>
        <v>34002</v>
      </c>
      <c r="BJ336" s="48">
        <f t="shared" si="130"/>
        <v>613376.27</v>
      </c>
      <c r="BK336" s="628">
        <f t="shared" si="138"/>
        <v>0</v>
      </c>
    </row>
    <row r="337" spans="1:63" ht="15" thickBot="1">
      <c r="A337" s="196">
        <v>330</v>
      </c>
      <c r="B337" s="73" t="s">
        <v>732</v>
      </c>
      <c r="C337" s="298" t="s">
        <v>733</v>
      </c>
      <c r="D337" s="168">
        <v>2725.0999999999985</v>
      </c>
      <c r="E337" s="170">
        <v>80904.72</v>
      </c>
      <c r="F337" s="171">
        <f t="shared" si="131"/>
        <v>83629.820000000007</v>
      </c>
      <c r="G337" s="181">
        <v>72139.520000000004</v>
      </c>
      <c r="H337" s="178">
        <v>11490.300000000003</v>
      </c>
      <c r="I337" s="170">
        <v>115399.61</v>
      </c>
      <c r="J337" s="171">
        <f t="shared" si="132"/>
        <v>126889.91</v>
      </c>
      <c r="K337" s="202">
        <v>116909.42000000001</v>
      </c>
      <c r="L337" s="171">
        <v>9980.4899999999907</v>
      </c>
      <c r="M337" s="197">
        <v>120630.6</v>
      </c>
      <c r="N337" s="171">
        <f t="shared" si="123"/>
        <v>130611.09</v>
      </c>
      <c r="O337" s="202">
        <v>121802.43000000001</v>
      </c>
      <c r="P337" s="238">
        <v>8808.6599999999889</v>
      </c>
      <c r="Q337" s="197">
        <v>137360.5</v>
      </c>
      <c r="R337" s="171">
        <f t="shared" si="124"/>
        <v>146169.15999999997</v>
      </c>
      <c r="S337" s="202">
        <v>148897.66999999998</v>
      </c>
      <c r="T337" s="238">
        <v>0</v>
      </c>
      <c r="U337" s="238">
        <v>136462.32</v>
      </c>
      <c r="V337" s="171">
        <f t="shared" si="125"/>
        <v>136462.32</v>
      </c>
      <c r="W337" s="56">
        <v>154208.61000000002</v>
      </c>
      <c r="X337" s="570">
        <f t="shared" si="133"/>
        <v>0</v>
      </c>
      <c r="Y337" s="571">
        <v>148124.24</v>
      </c>
      <c r="Z337" s="171">
        <f t="shared" si="126"/>
        <v>148124.24</v>
      </c>
      <c r="AA337" s="48">
        <v>158959.17000000001</v>
      </c>
      <c r="AB337" s="238">
        <f t="shared" si="134"/>
        <v>0</v>
      </c>
      <c r="AC337" s="238">
        <v>150150.84999999998</v>
      </c>
      <c r="AD337" s="171">
        <f t="shared" si="127"/>
        <v>150150.84999999998</v>
      </c>
      <c r="AE337" s="238"/>
      <c r="AF337" s="238">
        <f t="shared" si="135"/>
        <v>0</v>
      </c>
      <c r="AG337" s="196">
        <v>330</v>
      </c>
      <c r="AH337" s="73" t="s">
        <v>732</v>
      </c>
      <c r="AI337" s="298" t="s">
        <v>733</v>
      </c>
      <c r="AJ337" s="238">
        <f t="shared" si="136"/>
        <v>0</v>
      </c>
      <c r="AK337" s="238"/>
      <c r="AL337" s="358" t="s">
        <v>732</v>
      </c>
      <c r="AM337" s="48">
        <v>158959.17000000001</v>
      </c>
      <c r="AN337" s="238" t="s">
        <v>732</v>
      </c>
      <c r="AO337" s="238">
        <v>150150.84999999998</v>
      </c>
      <c r="AQ337" s="472">
        <f t="shared" si="137"/>
        <v>0</v>
      </c>
      <c r="AS337" t="s">
        <v>732</v>
      </c>
      <c r="AT337" t="s">
        <v>1953</v>
      </c>
      <c r="AU337" s="48">
        <v>105271.03999999999</v>
      </c>
      <c r="AV337" s="48">
        <v>6401.09</v>
      </c>
      <c r="AW337" s="48">
        <v>0</v>
      </c>
      <c r="AX337" s="48">
        <v>0</v>
      </c>
      <c r="AY337" s="48">
        <v>15225.46</v>
      </c>
      <c r="AZ337" s="48">
        <v>8579.49</v>
      </c>
      <c r="BA337" s="48">
        <v>4773.0600000000004</v>
      </c>
      <c r="BB337" s="48">
        <v>4060.8</v>
      </c>
      <c r="BC337" s="48">
        <v>568.88</v>
      </c>
      <c r="BD337" s="48">
        <v>5271.03</v>
      </c>
      <c r="BE337" s="48"/>
      <c r="BF337" s="48">
        <f t="shared" si="128"/>
        <v>150150.84999999998</v>
      </c>
      <c r="BG337" s="48"/>
      <c r="BH337" s="48"/>
      <c r="BI337" s="48" t="str">
        <f t="shared" si="129"/>
        <v>39205</v>
      </c>
      <c r="BJ337" s="48">
        <f t="shared" si="130"/>
        <v>150150.84999999998</v>
      </c>
      <c r="BK337" s="628">
        <f t="shared" si="138"/>
        <v>0</v>
      </c>
    </row>
    <row r="338" spans="1:63">
      <c r="O338"/>
      <c r="P338"/>
      <c r="R338"/>
      <c r="AL338" s="238"/>
      <c r="AM338" s="238"/>
      <c r="AQ338" s="66"/>
      <c r="AS338"/>
      <c r="AT338"/>
      <c r="AU338" s="48"/>
      <c r="AV338" s="48"/>
      <c r="AW338" s="48"/>
      <c r="AX338" s="48"/>
      <c r="AY338" s="48"/>
      <c r="AZ338" s="48"/>
      <c r="BA338" s="48"/>
      <c r="BB338" s="48"/>
      <c r="BC338" s="48"/>
      <c r="BD338" s="48"/>
      <c r="BE338" s="375"/>
      <c r="BF338"/>
      <c r="BG338"/>
      <c r="BH338"/>
      <c r="BI338" s="375"/>
    </row>
    <row r="339" spans="1:63">
      <c r="O339"/>
      <c r="P339"/>
      <c r="Q339"/>
      <c r="R339"/>
      <c r="AL339" s="238"/>
      <c r="AM339" s="238"/>
      <c r="BH339"/>
      <c r="BI339"/>
    </row>
    <row r="340" spans="1:63">
      <c r="O340"/>
      <c r="P340"/>
      <c r="Q340"/>
      <c r="R340"/>
      <c r="AL340" s="238"/>
      <c r="AM340" s="238"/>
    </row>
    <row r="341" spans="1:63">
      <c r="O341"/>
      <c r="P341"/>
      <c r="Q341"/>
      <c r="R341"/>
      <c r="AL341" s="238"/>
      <c r="AM341" s="238"/>
    </row>
    <row r="342" spans="1:63">
      <c r="O342"/>
      <c r="P342"/>
      <c r="Q342"/>
      <c r="R342"/>
      <c r="AL342" s="238"/>
      <c r="AM342" s="238"/>
    </row>
    <row r="343" spans="1:63">
      <c r="AL343" s="238"/>
      <c r="AM343" s="238"/>
    </row>
    <row r="344" spans="1:63">
      <c r="AL344" s="238"/>
      <c r="AM344" s="238"/>
    </row>
    <row r="345" spans="1:63">
      <c r="AL345" s="238"/>
      <c r="AM345" s="238"/>
    </row>
    <row r="346" spans="1:63">
      <c r="AL346" s="238"/>
      <c r="AM346" s="238"/>
    </row>
    <row r="347" spans="1:63">
      <c r="AL347" s="238"/>
      <c r="AM347" s="238"/>
    </row>
    <row r="348" spans="1:63">
      <c r="AL348" s="238"/>
      <c r="AM348" s="238"/>
    </row>
    <row r="349" spans="1:63">
      <c r="AL349" s="238"/>
      <c r="AM349" s="238"/>
    </row>
    <row r="350" spans="1:63">
      <c r="AL350" s="238"/>
      <c r="AM350" s="238"/>
    </row>
    <row r="351" spans="1:63">
      <c r="AL351" s="238"/>
      <c r="AM351" s="238"/>
    </row>
    <row r="352" spans="1:63">
      <c r="AL352" s="238"/>
      <c r="AM352" s="238"/>
    </row>
    <row r="353" spans="38:39">
      <c r="AL353" s="238"/>
      <c r="AM353" s="238"/>
    </row>
    <row r="354" spans="38:39">
      <c r="AL354" s="238"/>
      <c r="AM354" s="238"/>
    </row>
    <row r="355" spans="38:39">
      <c r="AL355" s="238"/>
      <c r="AM355" s="238"/>
    </row>
    <row r="356" spans="38:39">
      <c r="AL356" s="238"/>
      <c r="AM356" s="238"/>
    </row>
    <row r="357" spans="38:39">
      <c r="AL357" s="238"/>
      <c r="AM357" s="238"/>
    </row>
    <row r="358" spans="38:39">
      <c r="AL358" s="238"/>
      <c r="AM358" s="238"/>
    </row>
  </sheetData>
  <sortState xmlns:xlrd2="http://schemas.microsoft.com/office/spreadsheetml/2017/richdata2" ref="A8:BL337">
    <sortCondition ref="C8:C337"/>
  </sortState>
  <pageMargins left="0.7" right="0.7" top="0.75" bottom="0.75" header="0.3" footer="0.3"/>
  <pageSetup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F6B08-4BBC-41BA-8C62-9BEAD2EB81DD}">
  <sheetPr>
    <tabColor rgb="FFFFFF00"/>
    <pageSetUpPr fitToPage="1"/>
  </sheetPr>
  <dimension ref="A1:T29"/>
  <sheetViews>
    <sheetView zoomScaleNormal="100" workbookViewId="0">
      <selection activeCell="B4" sqref="B4"/>
    </sheetView>
  </sheetViews>
  <sheetFormatPr defaultRowHeight="14.4"/>
  <cols>
    <col min="1" max="1" width="47.5546875" bestFit="1" customWidth="1"/>
    <col min="2" max="2" width="16.5546875" bestFit="1" customWidth="1"/>
    <col min="3" max="3" width="14" bestFit="1" customWidth="1"/>
    <col min="4" max="4" width="14" customWidth="1"/>
    <col min="5" max="5" width="14" bestFit="1" customWidth="1"/>
    <col min="6" max="6" width="22" customWidth="1"/>
    <col min="7" max="7" width="22.109375" customWidth="1"/>
    <col min="8" max="8" width="2.5546875" customWidth="1"/>
    <col min="10" max="10" width="14.33203125" customWidth="1"/>
    <col min="11" max="11" width="3.33203125" customWidth="1"/>
    <col min="12" max="12" width="5.6640625" customWidth="1"/>
    <col min="13" max="13" width="44.33203125" bestFit="1" customWidth="1"/>
    <col min="14" max="14" width="17.88671875" bestFit="1" customWidth="1"/>
    <col min="15" max="15" width="12" bestFit="1" customWidth="1"/>
    <col min="16" max="16" width="12.88671875" bestFit="1" customWidth="1"/>
    <col min="17" max="17" width="11.44140625" bestFit="1" customWidth="1"/>
    <col min="18" max="18" width="8.33203125" customWidth="1"/>
    <col min="19" max="19" width="2.6640625" customWidth="1"/>
    <col min="20" max="20" width="12.33203125" customWidth="1"/>
  </cols>
  <sheetData>
    <row r="1" spans="1:20" ht="15.6">
      <c r="A1" s="705" t="s">
        <v>1993</v>
      </c>
      <c r="B1" s="705"/>
      <c r="C1" s="705"/>
      <c r="D1" s="705"/>
      <c r="E1" s="705"/>
      <c r="F1" s="705"/>
      <c r="I1" s="34" t="str">
        <f>'Fund Balance Summary'!$B$1</f>
        <v>14005</v>
      </c>
      <c r="M1" s="353" t="s">
        <v>2366</v>
      </c>
    </row>
    <row r="2" spans="1:20" ht="16.2" thickBot="1">
      <c r="A2" s="705" t="s">
        <v>51</v>
      </c>
      <c r="B2" s="705"/>
      <c r="C2" s="705"/>
      <c r="D2" s="705"/>
      <c r="E2" s="705"/>
      <c r="F2" s="705"/>
    </row>
    <row r="3" spans="1:20" ht="15" customHeight="1">
      <c r="A3" s="6" t="s">
        <v>39</v>
      </c>
      <c r="B3" s="253"/>
      <c r="C3" s="253"/>
      <c r="D3" s="253"/>
      <c r="F3" s="2"/>
      <c r="G3" s="326"/>
      <c r="H3" s="204"/>
      <c r="I3" s="704" t="s">
        <v>2521</v>
      </c>
      <c r="J3" s="704"/>
      <c r="L3" s="329"/>
      <c r="M3" s="330"/>
      <c r="N3" s="330"/>
      <c r="O3" s="330"/>
      <c r="P3" s="330"/>
      <c r="Q3" s="330"/>
      <c r="R3" s="330"/>
      <c r="S3" s="331"/>
    </row>
    <row r="4" spans="1:20" ht="30.75" customHeight="1" thickBot="1">
      <c r="G4" s="326"/>
      <c r="H4" s="204"/>
      <c r="I4" s="704"/>
      <c r="J4" s="704"/>
      <c r="L4" s="317"/>
      <c r="M4" s="703" t="s">
        <v>2335</v>
      </c>
      <c r="N4" s="703"/>
      <c r="O4" s="703"/>
      <c r="P4" s="703"/>
      <c r="Q4" s="703"/>
      <c r="R4" s="703"/>
      <c r="S4" s="332"/>
    </row>
    <row r="5" spans="1:20" ht="35.25" customHeight="1">
      <c r="A5" s="325" t="s">
        <v>2301</v>
      </c>
      <c r="B5" s="351" t="s">
        <v>2371</v>
      </c>
      <c r="C5" s="351" t="s">
        <v>2372</v>
      </c>
      <c r="D5" s="351" t="s">
        <v>2373</v>
      </c>
      <c r="E5" s="352" t="s">
        <v>2374</v>
      </c>
      <c r="F5" s="259" t="s">
        <v>2378</v>
      </c>
      <c r="G5" s="326"/>
      <c r="I5" s="704"/>
      <c r="J5" s="704"/>
      <c r="L5" s="317"/>
      <c r="M5" s="390" t="s">
        <v>2365</v>
      </c>
      <c r="N5" s="351" t="s">
        <v>2371</v>
      </c>
      <c r="O5" s="351" t="s">
        <v>2372</v>
      </c>
      <c r="P5" s="351" t="s">
        <v>2373</v>
      </c>
      <c r="Q5" s="352" t="s">
        <v>2374</v>
      </c>
      <c r="R5" s="391" t="s">
        <v>2336</v>
      </c>
      <c r="S5" s="332"/>
    </row>
    <row r="6" spans="1:20" ht="15.6">
      <c r="A6" s="257" t="s">
        <v>2297</v>
      </c>
      <c r="B6" s="319">
        <v>0</v>
      </c>
      <c r="C6" s="319">
        <v>0</v>
      </c>
      <c r="D6" s="319">
        <v>0</v>
      </c>
      <c r="E6" s="320">
        <v>0</v>
      </c>
      <c r="F6" s="269">
        <f>SUM(B6:E6)</f>
        <v>0</v>
      </c>
      <c r="G6" s="326"/>
      <c r="I6" s="704"/>
      <c r="J6" s="704"/>
      <c r="L6" s="333" t="s">
        <v>2337</v>
      </c>
      <c r="M6" s="328" t="s">
        <v>2338</v>
      </c>
      <c r="N6" s="392"/>
      <c r="O6" s="392"/>
      <c r="P6" s="392"/>
      <c r="Q6" s="392"/>
      <c r="R6" s="393" t="s">
        <v>2339</v>
      </c>
      <c r="S6" s="332"/>
    </row>
    <row r="7" spans="1:20" ht="15.6">
      <c r="A7" s="254"/>
      <c r="B7" s="254"/>
      <c r="C7" s="254"/>
      <c r="D7" s="254"/>
      <c r="E7" s="255"/>
      <c r="F7" s="260"/>
      <c r="I7" s="704"/>
      <c r="J7" s="704"/>
      <c r="L7" s="333"/>
      <c r="M7" s="328"/>
      <c r="N7" s="394"/>
      <c r="O7" s="394"/>
      <c r="P7" s="394"/>
      <c r="Q7" s="394"/>
      <c r="R7" s="391"/>
      <c r="S7" s="332"/>
    </row>
    <row r="8" spans="1:20" ht="17.399999999999999">
      <c r="A8" s="80" t="s">
        <v>2375</v>
      </c>
      <c r="C8" s="321">
        <v>0</v>
      </c>
      <c r="D8" s="321">
        <v>0</v>
      </c>
      <c r="E8" s="322">
        <v>0</v>
      </c>
      <c r="F8" s="261"/>
      <c r="I8" s="704"/>
      <c r="J8" s="704"/>
      <c r="L8" s="333" t="s">
        <v>2340</v>
      </c>
      <c r="M8" t="s">
        <v>2375</v>
      </c>
      <c r="N8" s="394"/>
      <c r="O8" s="395" t="s">
        <v>2342</v>
      </c>
      <c r="P8" s="395" t="s">
        <v>2342</v>
      </c>
      <c r="Q8" s="395" t="s">
        <v>2368</v>
      </c>
      <c r="R8" s="396"/>
      <c r="S8" s="332"/>
    </row>
    <row r="9" spans="1:20" ht="18">
      <c r="A9" s="80" t="s">
        <v>2295</v>
      </c>
      <c r="B9" s="80"/>
      <c r="C9" s="323">
        <v>0</v>
      </c>
      <c r="D9" s="323">
        <v>0</v>
      </c>
      <c r="E9" s="324">
        <v>0</v>
      </c>
      <c r="F9" s="262"/>
      <c r="G9" s="226"/>
      <c r="I9" s="704"/>
      <c r="J9" s="704"/>
      <c r="L9" s="333" t="s">
        <v>2343</v>
      </c>
      <c r="M9" t="s">
        <v>2295</v>
      </c>
      <c r="N9" s="394"/>
      <c r="O9" s="395" t="s">
        <v>2341</v>
      </c>
      <c r="P9" s="395" t="s">
        <v>2341</v>
      </c>
      <c r="Q9" s="395" t="s">
        <v>2341</v>
      </c>
      <c r="R9" s="396"/>
      <c r="S9" s="332"/>
    </row>
    <row r="10" spans="1:20" ht="18">
      <c r="A10" s="266" t="s">
        <v>2380</v>
      </c>
      <c r="B10" s="80"/>
      <c r="C10" s="267">
        <f>+C9*C8</f>
        <v>0</v>
      </c>
      <c r="D10" s="267">
        <f t="shared" ref="D10:E10" si="0">+D9*D8</f>
        <v>0</v>
      </c>
      <c r="E10" s="315">
        <f t="shared" si="0"/>
        <v>0</v>
      </c>
      <c r="F10" s="316">
        <f>SUM(C10:E10)</f>
        <v>0</v>
      </c>
      <c r="G10" s="226"/>
      <c r="I10" s="704"/>
      <c r="J10" s="704"/>
      <c r="L10" s="333" t="s">
        <v>2344</v>
      </c>
      <c r="M10" s="397" t="s">
        <v>2380</v>
      </c>
      <c r="N10" s="394"/>
      <c r="O10" s="398" t="s">
        <v>2345</v>
      </c>
      <c r="P10" s="398" t="s">
        <v>2345</v>
      </c>
      <c r="Q10" s="398" t="s">
        <v>2345</v>
      </c>
      <c r="R10" s="391" t="s">
        <v>2346</v>
      </c>
      <c r="S10" s="332"/>
    </row>
    <row r="11" spans="1:20" ht="18">
      <c r="A11" s="80" t="s">
        <v>2298</v>
      </c>
      <c r="B11" s="319">
        <v>0</v>
      </c>
      <c r="C11" s="258"/>
      <c r="D11" s="258"/>
      <c r="E11" s="258"/>
      <c r="F11" s="260">
        <f>+B11</f>
        <v>0</v>
      </c>
      <c r="G11" s="226"/>
      <c r="I11" s="704"/>
      <c r="J11" s="704"/>
      <c r="L11" s="333" t="s">
        <v>2347</v>
      </c>
      <c r="M11" t="s">
        <v>2298</v>
      </c>
      <c r="N11" s="395">
        <v>1197</v>
      </c>
      <c r="O11" s="394"/>
      <c r="P11" s="394"/>
      <c r="Q11" s="394"/>
      <c r="R11" s="391" t="s">
        <v>2348</v>
      </c>
      <c r="S11" s="332"/>
    </row>
    <row r="12" spans="1:20" ht="18">
      <c r="A12" s="523" t="s">
        <v>2299</v>
      </c>
      <c r="B12" s="524">
        <v>0</v>
      </c>
      <c r="F12" s="260">
        <f>+B12</f>
        <v>0</v>
      </c>
      <c r="G12" s="226"/>
      <c r="J12" s="314"/>
      <c r="L12" s="333" t="s">
        <v>2349</v>
      </c>
      <c r="M12" s="522" t="s">
        <v>2299</v>
      </c>
      <c r="N12" s="395">
        <v>1197</v>
      </c>
      <c r="O12" s="394"/>
      <c r="P12" s="394"/>
      <c r="Q12" s="394"/>
      <c r="R12" s="391" t="s">
        <v>2350</v>
      </c>
      <c r="S12" s="332"/>
    </row>
    <row r="13" spans="1:20" ht="18">
      <c r="A13" s="256"/>
      <c r="B13" s="264"/>
      <c r="C13" s="97"/>
      <c r="D13" s="97"/>
      <c r="E13" s="97"/>
      <c r="F13" s="260"/>
      <c r="G13" s="226"/>
      <c r="J13" s="221"/>
      <c r="L13" s="334"/>
      <c r="M13" s="10"/>
      <c r="N13" s="73"/>
      <c r="O13" s="73"/>
      <c r="P13" s="73"/>
      <c r="Q13" s="73"/>
      <c r="R13" s="73"/>
      <c r="S13" s="332"/>
    </row>
    <row r="14" spans="1:20" ht="17.399999999999999">
      <c r="A14" s="328" t="s">
        <v>2376</v>
      </c>
      <c r="B14" s="101">
        <f>+B6+B11+B12</f>
        <v>0</v>
      </c>
      <c r="C14" s="101">
        <f>+C10+C6</f>
        <v>0</v>
      </c>
      <c r="D14" s="101">
        <f>+D10+D6</f>
        <v>0</v>
      </c>
      <c r="E14" s="101">
        <f>+E10+E6</f>
        <v>0</v>
      </c>
      <c r="F14" s="263">
        <f>SUM(B14:E14)</f>
        <v>0</v>
      </c>
      <c r="H14" s="5"/>
      <c r="I14" s="5"/>
      <c r="J14" s="221"/>
      <c r="L14" s="333" t="s">
        <v>2351</v>
      </c>
      <c r="M14" s="328" t="s">
        <v>2376</v>
      </c>
      <c r="N14" s="398" t="s">
        <v>2352</v>
      </c>
      <c r="O14" s="398" t="s">
        <v>2353</v>
      </c>
      <c r="P14" s="398" t="s">
        <v>2353</v>
      </c>
      <c r="Q14" s="398" t="s">
        <v>2353</v>
      </c>
      <c r="R14" s="391" t="s">
        <v>2354</v>
      </c>
      <c r="S14" s="332"/>
    </row>
    <row r="15" spans="1:20" ht="17.399999999999999">
      <c r="A15" s="80"/>
      <c r="B15" s="80"/>
      <c r="C15" s="80"/>
      <c r="D15" s="80"/>
      <c r="E15" s="89"/>
      <c r="F15" s="261"/>
      <c r="J15" s="314"/>
      <c r="L15" s="334"/>
      <c r="N15" s="73"/>
      <c r="O15" s="73"/>
      <c r="P15" s="73"/>
      <c r="Q15" s="73"/>
      <c r="R15" s="73"/>
      <c r="S15" s="332"/>
    </row>
    <row r="16" spans="1:20" ht="18" thickBot="1">
      <c r="A16" s="328" t="s">
        <v>2369</v>
      </c>
      <c r="B16" s="319">
        <v>0</v>
      </c>
      <c r="F16" s="261"/>
      <c r="G16" t="s">
        <v>2379</v>
      </c>
      <c r="J16" s="221"/>
      <c r="L16" s="333" t="s">
        <v>2355</v>
      </c>
      <c r="M16" s="328" t="s">
        <v>2369</v>
      </c>
      <c r="N16" s="399" t="s">
        <v>2370</v>
      </c>
      <c r="O16" s="394"/>
      <c r="P16" s="394"/>
      <c r="Q16" s="394"/>
      <c r="R16" s="338"/>
      <c r="S16" s="332"/>
      <c r="T16" t="s">
        <v>2379</v>
      </c>
    </row>
    <row r="17" spans="1:20" ht="18.75" customHeight="1" thickBot="1">
      <c r="A17" s="80" t="s">
        <v>2377</v>
      </c>
      <c r="B17" s="80"/>
      <c r="C17" s="319">
        <v>0</v>
      </c>
      <c r="D17" s="319">
        <v>0</v>
      </c>
      <c r="E17" s="320">
        <v>0</v>
      </c>
      <c r="F17" s="265"/>
      <c r="G17" s="389">
        <f>+B16+C17+D17+E17</f>
        <v>0</v>
      </c>
      <c r="J17" s="221"/>
      <c r="L17" s="333" t="s">
        <v>2356</v>
      </c>
      <c r="M17" t="s">
        <v>2377</v>
      </c>
      <c r="N17" s="394"/>
      <c r="O17" s="395"/>
      <c r="P17" s="395"/>
      <c r="Q17" s="395"/>
      <c r="R17" s="338"/>
      <c r="S17" s="332"/>
      <c r="T17" s="338" t="s">
        <v>2367</v>
      </c>
    </row>
    <row r="18" spans="1:20" ht="17.399999999999999">
      <c r="A18" s="80"/>
      <c r="B18" s="80"/>
      <c r="C18" s="80"/>
      <c r="D18" s="80"/>
      <c r="E18" s="89"/>
      <c r="F18" s="261"/>
      <c r="J18" s="221"/>
      <c r="L18" s="334"/>
      <c r="M18" s="73"/>
      <c r="N18" s="73"/>
      <c r="O18" s="73"/>
      <c r="P18" s="73"/>
      <c r="Q18" s="73"/>
      <c r="R18" s="73"/>
      <c r="S18" s="332"/>
      <c r="T18" s="338"/>
    </row>
    <row r="19" spans="1:20" ht="18" thickBot="1">
      <c r="A19" s="80" t="s">
        <v>2300</v>
      </c>
      <c r="B19" s="268">
        <f>+B14-B16</f>
        <v>0</v>
      </c>
      <c r="C19" s="386">
        <f t="shared" ref="C19:E19" si="1">+C14-C17</f>
        <v>0</v>
      </c>
      <c r="D19" s="386">
        <f t="shared" si="1"/>
        <v>0</v>
      </c>
      <c r="E19" s="387">
        <f t="shared" si="1"/>
        <v>0</v>
      </c>
      <c r="F19" s="261"/>
      <c r="J19" s="221"/>
      <c r="L19" s="333" t="s">
        <v>2357</v>
      </c>
      <c r="M19" s="328" t="s">
        <v>2358</v>
      </c>
      <c r="N19" s="398" t="s">
        <v>2359</v>
      </c>
      <c r="O19" s="398" t="s">
        <v>2360</v>
      </c>
      <c r="P19" s="398" t="s">
        <v>2360</v>
      </c>
      <c r="Q19" s="398" t="s">
        <v>2360</v>
      </c>
      <c r="R19" s="394"/>
      <c r="S19" s="332"/>
    </row>
    <row r="20" spans="1:20" ht="58.2" customHeight="1">
      <c r="A20" s="327" t="s">
        <v>2296</v>
      </c>
      <c r="B20" s="80"/>
      <c r="C20" s="706" t="s">
        <v>2415</v>
      </c>
      <c r="D20" s="707"/>
      <c r="E20" s="707"/>
      <c r="F20" s="265"/>
      <c r="L20" s="318"/>
      <c r="M20" s="400" t="s">
        <v>2361</v>
      </c>
      <c r="N20" s="394"/>
      <c r="O20" s="394"/>
      <c r="P20" s="394"/>
      <c r="Q20" s="394"/>
      <c r="R20" s="394"/>
      <c r="S20" s="332"/>
    </row>
    <row r="21" spans="1:20" ht="18" thickBot="1">
      <c r="A21" s="270" t="s">
        <v>2413</v>
      </c>
      <c r="B21" s="404">
        <f>IF(+B14-B16&lt;0,0,+B19)</f>
        <v>0</v>
      </c>
      <c r="C21" s="405">
        <f t="shared" ref="C21:E21" si="2">IF(+C14-C17&lt;0,0,+C19)</f>
        <v>0</v>
      </c>
      <c r="D21" s="406">
        <f t="shared" si="2"/>
        <v>0</v>
      </c>
      <c r="E21" s="407">
        <f t="shared" si="2"/>
        <v>0</v>
      </c>
      <c r="F21" s="408">
        <f>SUM(B21:E21)</f>
        <v>0</v>
      </c>
      <c r="L21" s="333" t="s">
        <v>2362</v>
      </c>
      <c r="M21" s="328" t="s">
        <v>2416</v>
      </c>
      <c r="N21" s="401" t="s">
        <v>2363</v>
      </c>
      <c r="O21" s="401" t="s">
        <v>2363</v>
      </c>
      <c r="P21" s="401" t="s">
        <v>2363</v>
      </c>
      <c r="Q21" s="401" t="s">
        <v>2363</v>
      </c>
      <c r="R21" s="393" t="s">
        <v>2364</v>
      </c>
      <c r="S21" s="332"/>
    </row>
    <row r="22" spans="1:20" ht="15" thickBot="1">
      <c r="L22" s="402"/>
      <c r="S22" s="403"/>
    </row>
    <row r="23" spans="1:20" ht="16.2" thickBot="1">
      <c r="A23" s="410" t="s">
        <v>2417</v>
      </c>
      <c r="B23" s="79"/>
      <c r="C23" s="79"/>
      <c r="D23" s="79"/>
      <c r="E23" s="79"/>
      <c r="F23" s="409">
        <f>+B21</f>
        <v>0</v>
      </c>
      <c r="L23" s="335"/>
      <c r="M23" s="336"/>
      <c r="N23" s="336"/>
      <c r="O23" s="336"/>
      <c r="P23" s="336"/>
      <c r="Q23" s="336"/>
      <c r="R23" s="336"/>
      <c r="S23" s="337"/>
    </row>
    <row r="24" spans="1:20" ht="29.4" thickBot="1">
      <c r="F24" s="388" t="s">
        <v>2414</v>
      </c>
    </row>
    <row r="25" spans="1:20">
      <c r="A25" s="353" t="s">
        <v>2381</v>
      </c>
      <c r="B25" s="354"/>
      <c r="C25" s="354"/>
      <c r="D25" s="354"/>
      <c r="E25" s="354"/>
      <c r="M25" s="353" t="s">
        <v>2381</v>
      </c>
      <c r="N25" s="354"/>
      <c r="O25" s="354"/>
      <c r="P25" s="354"/>
      <c r="Q25" s="354"/>
      <c r="R25" s="354"/>
    </row>
    <row r="26" spans="1:20" ht="15" customHeight="1">
      <c r="G26" s="326"/>
    </row>
    <row r="27" spans="1:20">
      <c r="G27" s="326"/>
    </row>
    <row r="28" spans="1:20">
      <c r="G28" s="326"/>
    </row>
    <row r="29" spans="1:20">
      <c r="G29" s="326"/>
    </row>
  </sheetData>
  <mergeCells count="5">
    <mergeCell ref="M4:R4"/>
    <mergeCell ref="I3:J11"/>
    <mergeCell ref="A1:F1"/>
    <mergeCell ref="A2:F2"/>
    <mergeCell ref="C20:E20"/>
  </mergeCells>
  <hyperlinks>
    <hyperlink ref="A3" location="'Fund Balance Summary'!A1" display="(Return to summary sheet)" xr:uid="{97CF06A2-A34A-48AC-A10E-FF41DBC22EFC}"/>
  </hyperlinks>
  <pageMargins left="0.2" right="0.2" top="0.75" bottom="0.75" header="0.3" footer="0.3"/>
  <pageSetup scale="9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C000"/>
  </sheetPr>
  <dimension ref="A1:V51"/>
  <sheetViews>
    <sheetView workbookViewId="0">
      <selection activeCell="B3" sqref="B3"/>
    </sheetView>
  </sheetViews>
  <sheetFormatPr defaultRowHeight="14.4"/>
  <cols>
    <col min="1" max="1" width="70.88671875" bestFit="1" customWidth="1"/>
    <col min="2" max="5" width="15.6640625" style="2" customWidth="1"/>
    <col min="6" max="7" width="3.88671875" customWidth="1"/>
    <col min="10" max="10" width="27.77734375" customWidth="1"/>
    <col min="14" max="14" width="12.5546875" bestFit="1" customWidth="1"/>
    <col min="15" max="15" width="15.88671875" customWidth="1"/>
  </cols>
  <sheetData>
    <row r="1" spans="1:22">
      <c r="A1" s="682" t="s">
        <v>1094</v>
      </c>
      <c r="B1" s="682"/>
      <c r="C1" s="682"/>
      <c r="D1" s="682"/>
      <c r="E1" s="682"/>
      <c r="V1" t="s">
        <v>2570</v>
      </c>
    </row>
    <row r="2" spans="1:22" ht="15" thickBot="1">
      <c r="A2" s="682" t="s">
        <v>1098</v>
      </c>
      <c r="B2" s="682"/>
      <c r="C2" s="682"/>
      <c r="D2" s="682"/>
      <c r="E2" s="682"/>
    </row>
    <row r="3" spans="1:22">
      <c r="A3" s="108" t="s">
        <v>150</v>
      </c>
      <c r="J3" s="541" t="s">
        <v>2550</v>
      </c>
      <c r="K3" s="542"/>
      <c r="L3" s="542"/>
      <c r="M3" s="542"/>
      <c r="N3" s="542"/>
      <c r="O3" s="543"/>
    </row>
    <row r="4" spans="1:22">
      <c r="J4" s="544"/>
      <c r="K4" s="545"/>
      <c r="L4" s="545"/>
      <c r="M4" s="545"/>
      <c r="N4" s="545"/>
      <c r="O4" s="546"/>
    </row>
    <row r="5" spans="1:22">
      <c r="A5" s="7" t="s">
        <v>2539</v>
      </c>
      <c r="B5" s="536" t="s">
        <v>2536</v>
      </c>
      <c r="C5" s="536" t="s">
        <v>2537</v>
      </c>
      <c r="D5" s="536" t="s">
        <v>2538</v>
      </c>
      <c r="J5" s="547" t="s">
        <v>2552</v>
      </c>
      <c r="K5" s="545"/>
      <c r="L5" s="545"/>
      <c r="M5" s="545"/>
      <c r="N5" s="545"/>
      <c r="O5" s="546"/>
    </row>
    <row r="6" spans="1:22" ht="16.2">
      <c r="A6" t="s">
        <v>2547</v>
      </c>
      <c r="B6" s="1">
        <v>0</v>
      </c>
      <c r="C6" s="1">
        <v>0</v>
      </c>
      <c r="D6" s="1">
        <v>0</v>
      </c>
      <c r="E6" s="60">
        <f>SUM(B6:D6)</f>
        <v>0</v>
      </c>
      <c r="J6" s="544"/>
      <c r="K6" s="545"/>
      <c r="L6" s="545"/>
      <c r="M6" s="545"/>
      <c r="N6" s="545"/>
      <c r="O6" s="546"/>
    </row>
    <row r="7" spans="1:22">
      <c r="B7" s="536"/>
      <c r="C7" s="536"/>
      <c r="D7" s="536"/>
      <c r="E7" s="62"/>
      <c r="J7" s="544" t="s">
        <v>2551</v>
      </c>
      <c r="K7" s="545"/>
      <c r="L7" s="545"/>
      <c r="M7" s="545"/>
      <c r="N7" s="545"/>
      <c r="O7" s="546"/>
    </row>
    <row r="8" spans="1:22">
      <c r="A8" t="s">
        <v>1081</v>
      </c>
      <c r="B8" s="536" t="s">
        <v>2536</v>
      </c>
      <c r="C8" s="536" t="s">
        <v>2537</v>
      </c>
      <c r="D8" s="536" t="s">
        <v>2538</v>
      </c>
      <c r="J8" s="548" t="s">
        <v>2553</v>
      </c>
      <c r="K8" s="545"/>
      <c r="L8" s="545"/>
      <c r="M8" s="545"/>
      <c r="N8" s="545"/>
      <c r="O8" s="546"/>
    </row>
    <row r="9" spans="1:22">
      <c r="A9" s="4" t="s">
        <v>1100</v>
      </c>
      <c r="B9" s="1">
        <v>0</v>
      </c>
      <c r="C9" s="537"/>
      <c r="D9" s="537"/>
      <c r="J9" s="549" t="s">
        <v>2554</v>
      </c>
      <c r="K9" s="545"/>
      <c r="L9" s="545"/>
      <c r="M9" s="545"/>
      <c r="N9" s="545"/>
      <c r="O9" s="546"/>
    </row>
    <row r="10" spans="1:22">
      <c r="A10" s="4" t="s">
        <v>1101</v>
      </c>
      <c r="B10" s="1">
        <v>0</v>
      </c>
      <c r="C10" s="1">
        <v>0</v>
      </c>
      <c r="D10" s="1">
        <v>0</v>
      </c>
      <c r="J10" s="550"/>
      <c r="K10" s="545"/>
      <c r="L10" s="545"/>
      <c r="M10" s="545"/>
      <c r="N10" s="545"/>
      <c r="O10" s="546"/>
    </row>
    <row r="11" spans="1:22">
      <c r="A11" s="4" t="s">
        <v>1102</v>
      </c>
      <c r="B11" s="1">
        <v>0</v>
      </c>
      <c r="C11" s="1">
        <v>0</v>
      </c>
      <c r="D11" s="1">
        <v>0</v>
      </c>
      <c r="J11" s="551" t="s">
        <v>2555</v>
      </c>
      <c r="K11" s="545"/>
      <c r="L11" s="545"/>
      <c r="M11" s="545"/>
      <c r="N11" s="545"/>
      <c r="O11" s="546"/>
    </row>
    <row r="12" spans="1:22">
      <c r="A12" s="4" t="s">
        <v>1099</v>
      </c>
      <c r="B12" s="1">
        <v>0</v>
      </c>
      <c r="C12" s="1">
        <v>0</v>
      </c>
      <c r="D12" s="1">
        <v>0</v>
      </c>
      <c r="J12" s="552" t="s">
        <v>2556</v>
      </c>
      <c r="K12" s="545"/>
      <c r="L12" s="545"/>
      <c r="M12" s="545"/>
      <c r="N12" s="545"/>
      <c r="O12" s="546"/>
    </row>
    <row r="13" spans="1:22">
      <c r="A13" s="4" t="s">
        <v>1123</v>
      </c>
      <c r="B13" s="1">
        <v>0</v>
      </c>
      <c r="C13" s="1">
        <v>0</v>
      </c>
      <c r="D13" s="1">
        <v>0</v>
      </c>
      <c r="J13" s="548" t="s">
        <v>2557</v>
      </c>
      <c r="K13" s="545"/>
      <c r="L13" s="545"/>
      <c r="M13" s="545"/>
      <c r="N13" s="545"/>
      <c r="O13" s="546"/>
    </row>
    <row r="14" spans="1:22">
      <c r="A14" s="4" t="s">
        <v>1124</v>
      </c>
      <c r="B14" s="1">
        <v>0</v>
      </c>
      <c r="C14" s="1">
        <v>0</v>
      </c>
      <c r="D14" s="1">
        <v>0</v>
      </c>
      <c r="J14" s="544"/>
      <c r="K14" s="545"/>
      <c r="L14" s="545"/>
      <c r="M14" s="545"/>
      <c r="N14" s="545"/>
      <c r="O14" s="546"/>
    </row>
    <row r="15" spans="1:22">
      <c r="A15" s="4" t="s">
        <v>1125</v>
      </c>
      <c r="B15" s="1">
        <v>0</v>
      </c>
      <c r="C15" s="1">
        <v>0</v>
      </c>
      <c r="D15" s="1">
        <v>0</v>
      </c>
      <c r="J15" s="551" t="s">
        <v>2558</v>
      </c>
      <c r="K15" s="545"/>
      <c r="L15" s="545"/>
      <c r="M15" s="545"/>
      <c r="N15" s="545"/>
      <c r="O15" s="546"/>
    </row>
    <row r="16" spans="1:22" ht="16.2">
      <c r="A16" s="4" t="s">
        <v>1103</v>
      </c>
      <c r="B16" s="59">
        <v>0</v>
      </c>
      <c r="C16" s="59">
        <v>0</v>
      </c>
      <c r="D16" s="59">
        <v>0</v>
      </c>
      <c r="J16" s="552" t="s">
        <v>2559</v>
      </c>
      <c r="K16" s="545"/>
      <c r="L16" s="545"/>
      <c r="M16" s="545"/>
      <c r="N16" s="545"/>
      <c r="O16" s="546"/>
    </row>
    <row r="17" spans="1:15" ht="16.2">
      <c r="A17" t="s">
        <v>1104</v>
      </c>
      <c r="B17" s="60">
        <f>SUM(B9:B16)</f>
        <v>0</v>
      </c>
      <c r="C17" s="60">
        <f t="shared" ref="C17" si="0">SUM(C9:C16)</f>
        <v>0</v>
      </c>
      <c r="D17" s="60">
        <f>SUM(D9:D16)</f>
        <v>0</v>
      </c>
      <c r="E17" s="60">
        <f>SUM(B17:D17)</f>
        <v>0</v>
      </c>
      <c r="J17" s="548" t="s">
        <v>2560</v>
      </c>
      <c r="K17" s="545"/>
      <c r="L17" s="545"/>
      <c r="M17" s="545"/>
      <c r="N17" s="545"/>
      <c r="O17" s="546"/>
    </row>
    <row r="18" spans="1:15">
      <c r="A18" s="58" t="s">
        <v>2540</v>
      </c>
      <c r="B18" s="536" t="s">
        <v>2536</v>
      </c>
      <c r="C18" s="536" t="s">
        <v>2537</v>
      </c>
      <c r="D18" s="536" t="s">
        <v>2538</v>
      </c>
      <c r="J18" s="548" t="s">
        <v>2561</v>
      </c>
      <c r="K18" s="545"/>
      <c r="L18" s="545"/>
      <c r="M18" s="545"/>
      <c r="N18" s="545"/>
      <c r="O18" s="546"/>
    </row>
    <row r="19" spans="1:15">
      <c r="A19" s="4" t="s">
        <v>1105</v>
      </c>
      <c r="B19" s="1">
        <v>0</v>
      </c>
      <c r="C19" s="1">
        <v>0</v>
      </c>
      <c r="D19" s="537"/>
      <c r="J19" s="544"/>
      <c r="K19" s="545"/>
      <c r="L19" s="545"/>
      <c r="M19" s="545"/>
      <c r="N19" s="545"/>
      <c r="O19" s="546"/>
    </row>
    <row r="20" spans="1:15">
      <c r="A20" s="4" t="s">
        <v>1106</v>
      </c>
      <c r="B20" s="1">
        <v>0</v>
      </c>
      <c r="C20" s="1">
        <v>0</v>
      </c>
      <c r="D20" s="537"/>
      <c r="J20" s="553" t="s">
        <v>2562</v>
      </c>
      <c r="K20" s="545"/>
      <c r="L20" s="545"/>
      <c r="M20" s="545"/>
      <c r="N20" s="545"/>
      <c r="O20" s="546"/>
    </row>
    <row r="21" spans="1:15">
      <c r="A21" s="4" t="s">
        <v>1107</v>
      </c>
      <c r="B21" s="1">
        <v>0</v>
      </c>
      <c r="C21" s="537"/>
      <c r="D21" s="537"/>
      <c r="J21" s="544" t="s">
        <v>2563</v>
      </c>
      <c r="K21" s="545"/>
      <c r="L21" s="545"/>
      <c r="M21" s="545"/>
      <c r="N21" s="545"/>
      <c r="O21" s="546"/>
    </row>
    <row r="22" spans="1:15">
      <c r="A22" s="4" t="s">
        <v>1108</v>
      </c>
      <c r="B22" s="1">
        <v>0</v>
      </c>
      <c r="C22" s="1">
        <v>0</v>
      </c>
      <c r="D22" s="537"/>
      <c r="J22" s="552" t="s">
        <v>2571</v>
      </c>
      <c r="K22" s="545"/>
      <c r="L22" s="545"/>
      <c r="M22" s="545"/>
      <c r="N22" s="545"/>
      <c r="O22" s="546"/>
    </row>
    <row r="23" spans="1:15">
      <c r="A23" s="4" t="s">
        <v>2543</v>
      </c>
      <c r="B23" s="1">
        <v>0</v>
      </c>
      <c r="C23" s="1">
        <v>0</v>
      </c>
      <c r="D23" s="537"/>
      <c r="J23" s="552" t="s">
        <v>2564</v>
      </c>
      <c r="K23" s="545"/>
      <c r="L23" s="545"/>
      <c r="M23" s="545"/>
      <c r="N23" s="545"/>
      <c r="O23" s="546"/>
    </row>
    <row r="24" spans="1:15">
      <c r="A24" s="4" t="s">
        <v>1109</v>
      </c>
      <c r="B24" s="1">
        <v>0</v>
      </c>
      <c r="C24" s="537"/>
      <c r="D24" s="537"/>
      <c r="J24" s="544"/>
      <c r="K24" s="545"/>
      <c r="L24" s="545"/>
      <c r="M24" s="545"/>
      <c r="N24" s="545"/>
      <c r="O24" s="546"/>
    </row>
    <row r="25" spans="1:15">
      <c r="A25" s="4" t="s">
        <v>1110</v>
      </c>
      <c r="B25" s="1">
        <v>0</v>
      </c>
      <c r="C25" s="1">
        <v>0</v>
      </c>
      <c r="D25" s="537"/>
      <c r="J25" s="551" t="s">
        <v>2565</v>
      </c>
      <c r="K25" s="545"/>
      <c r="L25" s="545"/>
      <c r="M25" s="545"/>
      <c r="N25" s="545"/>
      <c r="O25" s="546"/>
    </row>
    <row r="26" spans="1:15">
      <c r="A26" s="4" t="s">
        <v>1111</v>
      </c>
      <c r="B26" s="1">
        <v>0</v>
      </c>
      <c r="C26" s="537"/>
      <c r="D26" s="537"/>
      <c r="J26" s="552" t="s">
        <v>2566</v>
      </c>
      <c r="K26" s="545"/>
      <c r="L26" s="545"/>
      <c r="M26" s="545"/>
      <c r="N26" s="545"/>
      <c r="O26" s="546"/>
    </row>
    <row r="27" spans="1:15">
      <c r="A27" s="4" t="s">
        <v>1112</v>
      </c>
      <c r="B27" s="1">
        <v>0</v>
      </c>
      <c r="C27" s="1">
        <v>0</v>
      </c>
      <c r="D27" s="537"/>
      <c r="J27" s="548" t="s">
        <v>2567</v>
      </c>
      <c r="K27" s="545"/>
      <c r="L27" s="545"/>
      <c r="M27" s="545"/>
      <c r="N27" s="545"/>
      <c r="O27" s="546"/>
    </row>
    <row r="28" spans="1:15">
      <c r="A28" s="4" t="s">
        <v>1113</v>
      </c>
      <c r="B28" s="1">
        <v>0</v>
      </c>
      <c r="C28" s="1">
        <v>0</v>
      </c>
      <c r="D28" s="537"/>
      <c r="J28" s="544"/>
      <c r="K28" s="545"/>
      <c r="L28" s="545"/>
      <c r="M28" s="545"/>
      <c r="N28" s="545"/>
      <c r="O28" s="546"/>
    </row>
    <row r="29" spans="1:15">
      <c r="A29" s="4" t="s">
        <v>1114</v>
      </c>
      <c r="B29" s="1">
        <v>0</v>
      </c>
      <c r="C29" s="1">
        <v>0</v>
      </c>
      <c r="D29" s="537"/>
      <c r="J29" s="551" t="s">
        <v>2568</v>
      </c>
      <c r="K29" s="545"/>
      <c r="L29" s="545"/>
      <c r="M29" s="545"/>
      <c r="N29" s="545"/>
      <c r="O29" s="546"/>
    </row>
    <row r="30" spans="1:15">
      <c r="A30" s="4" t="s">
        <v>1488</v>
      </c>
      <c r="B30" s="1">
        <v>0</v>
      </c>
      <c r="C30" s="1">
        <v>0</v>
      </c>
      <c r="D30" s="537"/>
      <c r="J30" s="552" t="s">
        <v>2569</v>
      </c>
      <c r="K30" s="545"/>
      <c r="L30" s="545"/>
      <c r="M30" s="545"/>
      <c r="N30" s="545"/>
      <c r="O30" s="546"/>
    </row>
    <row r="31" spans="1:15" ht="15" thickBot="1">
      <c r="A31" s="4" t="s">
        <v>2541</v>
      </c>
      <c r="B31" s="1">
        <v>0</v>
      </c>
      <c r="C31" s="537"/>
      <c r="D31" s="537"/>
      <c r="J31" s="554"/>
      <c r="K31" s="555"/>
      <c r="L31" s="555"/>
      <c r="M31" s="555"/>
      <c r="N31" s="555"/>
      <c r="O31" s="556"/>
    </row>
    <row r="32" spans="1:15">
      <c r="A32" s="4" t="s">
        <v>2542</v>
      </c>
      <c r="B32" s="1">
        <v>0</v>
      </c>
      <c r="C32" s="1">
        <v>0</v>
      </c>
      <c r="D32" s="537"/>
      <c r="E32" s="62"/>
    </row>
    <row r="33" spans="1:8">
      <c r="A33" s="4" t="s">
        <v>1115</v>
      </c>
      <c r="B33" s="1">
        <v>0</v>
      </c>
      <c r="C33" s="537"/>
      <c r="D33" s="1">
        <v>0</v>
      </c>
    </row>
    <row r="34" spans="1:8">
      <c r="A34" s="4" t="s">
        <v>1116</v>
      </c>
      <c r="B34" s="1">
        <v>0</v>
      </c>
      <c r="C34" s="537"/>
      <c r="D34" s="1">
        <v>0</v>
      </c>
    </row>
    <row r="35" spans="1:8">
      <c r="A35" s="4" t="s">
        <v>1117</v>
      </c>
      <c r="B35" s="1">
        <v>0</v>
      </c>
      <c r="C35" s="537"/>
      <c r="D35" s="537"/>
    </row>
    <row r="36" spans="1:8">
      <c r="A36" s="4" t="s">
        <v>1118</v>
      </c>
      <c r="B36" s="1">
        <v>0</v>
      </c>
      <c r="C36" s="537"/>
      <c r="D36" s="1">
        <v>0</v>
      </c>
    </row>
    <row r="37" spans="1:8">
      <c r="A37" s="4" t="s">
        <v>1119</v>
      </c>
      <c r="B37" s="1">
        <v>0</v>
      </c>
      <c r="C37" s="537"/>
      <c r="D37" s="537"/>
    </row>
    <row r="38" spans="1:8">
      <c r="A38" s="4" t="s">
        <v>1120</v>
      </c>
      <c r="B38" s="1">
        <v>0</v>
      </c>
      <c r="C38" s="537"/>
      <c r="D38" s="1">
        <v>0</v>
      </c>
    </row>
    <row r="39" spans="1:8" ht="16.2">
      <c r="A39" s="4" t="s">
        <v>1121</v>
      </c>
      <c r="B39" s="59">
        <v>0</v>
      </c>
      <c r="C39" s="537"/>
      <c r="D39" s="537"/>
    </row>
    <row r="40" spans="1:8" ht="16.8" thickBot="1">
      <c r="A40" s="58" t="s">
        <v>1122</v>
      </c>
      <c r="B40" s="538">
        <f>SUM(B19:B39)</f>
        <v>0</v>
      </c>
      <c r="C40" s="538">
        <f t="shared" ref="C40:D40" si="1">SUM(C19:C39)</f>
        <v>0</v>
      </c>
      <c r="D40" s="538">
        <f t="shared" si="1"/>
        <v>0</v>
      </c>
      <c r="E40" s="60">
        <f>SUM(B40:D40)</f>
        <v>0</v>
      </c>
    </row>
    <row r="41" spans="1:8" ht="16.8" thickTop="1">
      <c r="A41" s="58"/>
      <c r="B41" s="536" t="s">
        <v>2536</v>
      </c>
      <c r="C41" s="536" t="s">
        <v>2537</v>
      </c>
      <c r="D41" s="536" t="s">
        <v>2538</v>
      </c>
      <c r="E41" s="539"/>
    </row>
    <row r="42" spans="1:8" ht="15" thickBot="1">
      <c r="A42" s="58" t="s">
        <v>2544</v>
      </c>
      <c r="B42" s="540">
        <f t="shared" ref="B42:D42" si="2">+B17-B40</f>
        <v>0</v>
      </c>
      <c r="C42" s="540">
        <f t="shared" si="2"/>
        <v>0</v>
      </c>
      <c r="D42" s="540">
        <f t="shared" si="2"/>
        <v>0</v>
      </c>
      <c r="E42" s="540">
        <f>+E17-E40</f>
        <v>0</v>
      </c>
    </row>
    <row r="43" spans="1:8" ht="15" thickTop="1">
      <c r="A43" s="58"/>
    </row>
    <row r="44" spans="1:8" ht="16.2">
      <c r="A44" s="58" t="s">
        <v>2546</v>
      </c>
      <c r="E44" s="61">
        <f>+E6+E42</f>
        <v>0</v>
      </c>
      <c r="H44" t="s">
        <v>2549</v>
      </c>
    </row>
    <row r="47" spans="1:8">
      <c r="A47" s="7" t="s">
        <v>98</v>
      </c>
    </row>
    <row r="48" spans="1:8">
      <c r="A48" s="58" t="s">
        <v>2545</v>
      </c>
      <c r="E48" s="1">
        <v>0</v>
      </c>
    </row>
    <row r="49" spans="1:8">
      <c r="A49" s="58" t="s">
        <v>1126</v>
      </c>
      <c r="E49" s="1">
        <v>0</v>
      </c>
    </row>
    <row r="50" spans="1:8" ht="16.2">
      <c r="A50" s="58" t="s">
        <v>1127</v>
      </c>
      <c r="E50" s="59">
        <v>0</v>
      </c>
    </row>
    <row r="51" spans="1:8" ht="16.2">
      <c r="A51" s="58" t="s">
        <v>2548</v>
      </c>
      <c r="E51" s="61">
        <f>+E48+E49-E50</f>
        <v>0</v>
      </c>
      <c r="H51" t="s">
        <v>2549</v>
      </c>
    </row>
  </sheetData>
  <mergeCells count="2">
    <mergeCell ref="A1:E1"/>
    <mergeCell ref="A2:E2"/>
  </mergeCells>
  <hyperlinks>
    <hyperlink ref="A3" location="'Fund Balance Summary'!A1" display="(Return to Summary Sheet)" xr:uid="{00000000-0004-0000-0900-000000000000}"/>
  </hyperlinks>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T58"/>
  <sheetViews>
    <sheetView zoomScaleNormal="100" workbookViewId="0">
      <pane ySplit="4" topLeftCell="A5" activePane="bottomLeft" state="frozen"/>
      <selection pane="bottomLeft" activeCell="G3" sqref="G3"/>
    </sheetView>
  </sheetViews>
  <sheetFormatPr defaultColWidth="9.109375" defaultRowHeight="14.4"/>
  <cols>
    <col min="1" max="1" width="50.6640625" customWidth="1"/>
    <col min="2" max="2" width="16" bestFit="1" customWidth="1"/>
    <col min="3" max="3" width="13.44140625" bestFit="1" customWidth="1"/>
    <col min="4" max="4" width="14.88671875" bestFit="1" customWidth="1"/>
    <col min="5" max="5" width="2.109375" customWidth="1"/>
    <col min="6" max="6" width="15.33203125" customWidth="1"/>
    <col min="8" max="8" width="12.33203125" customWidth="1"/>
    <col min="9" max="9" width="2.44140625" customWidth="1"/>
    <col min="14" max="14" width="14" bestFit="1" customWidth="1"/>
    <col min="23" max="23" width="9.109375" customWidth="1"/>
  </cols>
  <sheetData>
    <row r="1" spans="1:20" ht="35.25" customHeight="1" thickBot="1">
      <c r="A1" s="637" t="s">
        <v>825</v>
      </c>
      <c r="B1" s="637"/>
      <c r="C1" s="637"/>
      <c r="F1" s="67" t="str">
        <f>'Fund Balance Summary'!B1</f>
        <v>14005</v>
      </c>
      <c r="H1" s="411" t="s">
        <v>2682</v>
      </c>
      <c r="J1" s="664" t="s">
        <v>1128</v>
      </c>
      <c r="K1" s="664"/>
      <c r="L1" s="664"/>
      <c r="M1" s="664"/>
      <c r="N1" s="664"/>
      <c r="O1" s="664"/>
      <c r="P1" s="664"/>
      <c r="Q1" s="664"/>
      <c r="R1" s="664"/>
      <c r="S1" s="664"/>
    </row>
    <row r="2" spans="1:20" ht="15" customHeight="1">
      <c r="A2" s="638" t="s">
        <v>51</v>
      </c>
      <c r="B2" s="638"/>
      <c r="C2" s="638"/>
      <c r="J2" s="640" t="s">
        <v>1528</v>
      </c>
      <c r="K2" s="641"/>
      <c r="L2" s="641"/>
      <c r="M2" s="641"/>
      <c r="N2" s="641"/>
      <c r="O2" s="641"/>
      <c r="P2" s="641"/>
      <c r="Q2" s="641"/>
      <c r="R2" s="641"/>
      <c r="S2" s="642"/>
    </row>
    <row r="3" spans="1:20">
      <c r="A3" s="6" t="s">
        <v>39</v>
      </c>
      <c r="J3" s="643" t="s">
        <v>51</v>
      </c>
      <c r="K3" s="644"/>
      <c r="L3" s="644"/>
      <c r="M3" s="644"/>
      <c r="N3" s="644"/>
      <c r="O3" s="644"/>
      <c r="P3" s="644"/>
      <c r="Q3" s="644"/>
      <c r="R3" s="644"/>
      <c r="S3" s="645"/>
    </row>
    <row r="4" spans="1:20" ht="20.399999999999999" customHeight="1">
      <c r="A4" s="46" t="str">
        <f>F1</f>
        <v>14005</v>
      </c>
      <c r="B4" s="7" t="str">
        <f>PROPER(VLOOKUP(F1,CCDDD!$P$2:$Q$331,2,FALSE))</f>
        <v>Aberdeen School District</v>
      </c>
      <c r="J4" s="652" t="s">
        <v>2683</v>
      </c>
      <c r="K4" s="653"/>
      <c r="L4" s="653"/>
      <c r="M4" s="653"/>
      <c r="N4" s="653"/>
      <c r="O4" s="653"/>
      <c r="P4" s="653"/>
      <c r="Q4" s="653"/>
      <c r="R4" s="653"/>
      <c r="S4" s="654"/>
    </row>
    <row r="5" spans="1:20" ht="15" customHeight="1">
      <c r="I5" s="7"/>
      <c r="J5" s="646" t="s">
        <v>1529</v>
      </c>
      <c r="K5" s="647"/>
      <c r="L5" s="647"/>
      <c r="M5" s="647"/>
      <c r="N5" s="647"/>
      <c r="O5" s="647"/>
      <c r="P5" s="647"/>
      <c r="Q5" s="647"/>
      <c r="R5" s="647"/>
      <c r="S5" s="648"/>
    </row>
    <row r="6" spans="1:20">
      <c r="A6" s="47" t="s">
        <v>1081</v>
      </c>
      <c r="J6" s="646"/>
      <c r="K6" s="647"/>
      <c r="L6" s="647"/>
      <c r="M6" s="647"/>
      <c r="N6" s="647"/>
      <c r="O6" s="647"/>
      <c r="P6" s="647"/>
      <c r="Q6" s="647"/>
      <c r="R6" s="647"/>
      <c r="S6" s="648"/>
    </row>
    <row r="7" spans="1:20">
      <c r="A7" s="33" t="s">
        <v>2006</v>
      </c>
      <c r="D7" s="1">
        <v>0</v>
      </c>
      <c r="J7" s="646"/>
      <c r="K7" s="647"/>
      <c r="L7" s="647"/>
      <c r="M7" s="647"/>
      <c r="N7" s="647"/>
      <c r="O7" s="647"/>
      <c r="P7" s="647"/>
      <c r="Q7" s="647"/>
      <c r="R7" s="647"/>
      <c r="S7" s="648"/>
      <c r="T7" s="103"/>
    </row>
    <row r="8" spans="1:20">
      <c r="A8" s="33" t="s">
        <v>1095</v>
      </c>
      <c r="D8" s="56">
        <v>0</v>
      </c>
      <c r="J8" s="646"/>
      <c r="K8" s="647"/>
      <c r="L8" s="647"/>
      <c r="M8" s="647"/>
      <c r="N8" s="647"/>
      <c r="O8" s="647"/>
      <c r="P8" s="647"/>
      <c r="Q8" s="647"/>
      <c r="R8" s="647"/>
      <c r="S8" s="648"/>
      <c r="T8" s="104"/>
    </row>
    <row r="9" spans="1:20">
      <c r="A9" s="33" t="s">
        <v>2436</v>
      </c>
      <c r="D9" s="56">
        <v>0</v>
      </c>
      <c r="J9" s="646"/>
      <c r="K9" s="647"/>
      <c r="L9" s="647"/>
      <c r="M9" s="647"/>
      <c r="N9" s="647"/>
      <c r="O9" s="647"/>
      <c r="P9" s="647"/>
      <c r="Q9" s="647"/>
      <c r="R9" s="647"/>
      <c r="S9" s="648"/>
      <c r="T9" s="105"/>
    </row>
    <row r="10" spans="1:20" ht="15" customHeight="1">
      <c r="A10" s="33" t="s">
        <v>1096</v>
      </c>
      <c r="D10" s="56">
        <v>0</v>
      </c>
      <c r="F10" s="200"/>
      <c r="J10" s="649" t="s">
        <v>1530</v>
      </c>
      <c r="K10" s="650"/>
      <c r="L10" s="650"/>
      <c r="M10" s="650"/>
      <c r="N10" s="650"/>
      <c r="O10" s="650"/>
      <c r="P10" s="650"/>
      <c r="Q10" s="650"/>
      <c r="R10" s="650"/>
      <c r="S10" s="651"/>
      <c r="T10" s="106"/>
    </row>
    <row r="11" spans="1:20" ht="16.2">
      <c r="A11" s="33" t="s">
        <v>1097</v>
      </c>
      <c r="D11" s="57">
        <v>0</v>
      </c>
      <c r="F11" s="200"/>
      <c r="J11" s="649"/>
      <c r="K11" s="650"/>
      <c r="L11" s="650"/>
      <c r="M11" s="650"/>
      <c r="N11" s="650"/>
      <c r="O11" s="650"/>
      <c r="P11" s="650"/>
      <c r="Q11" s="650"/>
      <c r="R11" s="650"/>
      <c r="S11" s="651"/>
      <c r="T11" s="106"/>
    </row>
    <row r="12" spans="1:20">
      <c r="A12" s="47" t="s">
        <v>1082</v>
      </c>
      <c r="D12" s="21">
        <f>SUM(D7:D11)</f>
        <v>0</v>
      </c>
      <c r="F12" s="200"/>
      <c r="J12" s="652" t="s">
        <v>1531</v>
      </c>
      <c r="K12" s="653"/>
      <c r="L12" s="653"/>
      <c r="M12" s="653"/>
      <c r="N12" s="653"/>
      <c r="O12" s="653"/>
      <c r="P12" s="653"/>
      <c r="Q12" s="653"/>
      <c r="R12" s="653"/>
      <c r="S12" s="654"/>
    </row>
    <row r="13" spans="1:20">
      <c r="A13" s="33"/>
      <c r="F13" s="200"/>
      <c r="J13" s="652"/>
      <c r="K13" s="653"/>
      <c r="L13" s="653"/>
      <c r="M13" s="653"/>
      <c r="N13" s="653"/>
      <c r="O13" s="653"/>
      <c r="P13" s="653"/>
      <c r="Q13" s="653"/>
      <c r="R13" s="653"/>
      <c r="S13" s="654"/>
    </row>
    <row r="14" spans="1:20" ht="28.8">
      <c r="A14" s="47" t="s">
        <v>57</v>
      </c>
      <c r="B14" s="49" t="s">
        <v>53</v>
      </c>
      <c r="C14" s="49" t="s">
        <v>1083</v>
      </c>
      <c r="D14" s="49" t="s">
        <v>1084</v>
      </c>
      <c r="F14" s="200"/>
      <c r="J14" s="646" t="s">
        <v>1532</v>
      </c>
      <c r="K14" s="647"/>
      <c r="L14" s="647"/>
      <c r="M14" s="647"/>
      <c r="N14" s="647"/>
      <c r="O14" s="647"/>
      <c r="P14" s="647"/>
      <c r="Q14" s="647"/>
      <c r="R14" s="647"/>
      <c r="S14" s="648"/>
    </row>
    <row r="15" spans="1:20">
      <c r="A15" s="33" t="s">
        <v>1129</v>
      </c>
      <c r="B15" s="1">
        <v>0</v>
      </c>
      <c r="C15" s="5">
        <f t="shared" ref="C15:C21" si="0">IF($B$22=0,0,B15/$B$22*$C$22)</f>
        <v>0</v>
      </c>
      <c r="D15" s="5">
        <f>+B15+C15</f>
        <v>0</v>
      </c>
      <c r="E15" t="s">
        <v>1085</v>
      </c>
      <c r="F15" s="200"/>
      <c r="J15" s="655" t="s">
        <v>2005</v>
      </c>
      <c r="K15" s="656"/>
      <c r="L15" s="656"/>
      <c r="M15" s="656"/>
      <c r="N15" s="656"/>
      <c r="O15" s="656"/>
      <c r="P15" s="656"/>
      <c r="Q15" s="656"/>
      <c r="R15" s="656"/>
      <c r="S15" s="657"/>
    </row>
    <row r="16" spans="1:20">
      <c r="A16" s="33" t="s">
        <v>1130</v>
      </c>
      <c r="B16" s="56">
        <v>0</v>
      </c>
      <c r="C16" s="5">
        <f t="shared" si="0"/>
        <v>0</v>
      </c>
      <c r="D16" s="5">
        <f t="shared" ref="D16:D21" si="1">+B16+C16</f>
        <v>0</v>
      </c>
      <c r="E16" t="s">
        <v>1085</v>
      </c>
      <c r="F16" s="200"/>
      <c r="J16" s="655"/>
      <c r="K16" s="656"/>
      <c r="L16" s="656"/>
      <c r="M16" s="656"/>
      <c r="N16" s="656"/>
      <c r="O16" s="656"/>
      <c r="P16" s="656"/>
      <c r="Q16" s="656"/>
      <c r="R16" s="656"/>
      <c r="S16" s="657"/>
    </row>
    <row r="17" spans="1:19">
      <c r="A17" s="33" t="s">
        <v>1131</v>
      </c>
      <c r="B17" s="56">
        <v>0</v>
      </c>
      <c r="C17" s="5">
        <f t="shared" si="0"/>
        <v>0</v>
      </c>
      <c r="D17" s="5">
        <f t="shared" si="1"/>
        <v>0</v>
      </c>
      <c r="E17" t="s">
        <v>1085</v>
      </c>
      <c r="F17" s="200"/>
      <c r="J17" s="655"/>
      <c r="K17" s="656"/>
      <c r="L17" s="656"/>
      <c r="M17" s="656"/>
      <c r="N17" s="656"/>
      <c r="O17" s="656"/>
      <c r="P17" s="656"/>
      <c r="Q17" s="656"/>
      <c r="R17" s="656"/>
      <c r="S17" s="657"/>
    </row>
    <row r="18" spans="1:19">
      <c r="A18" s="33" t="s">
        <v>2437</v>
      </c>
      <c r="B18" s="56">
        <v>0</v>
      </c>
      <c r="C18" s="5">
        <f t="shared" si="0"/>
        <v>0</v>
      </c>
      <c r="D18" s="5">
        <f t="shared" si="1"/>
        <v>0</v>
      </c>
      <c r="F18" s="200"/>
      <c r="J18" s="646" t="s">
        <v>1533</v>
      </c>
      <c r="K18" s="647"/>
      <c r="L18" s="647"/>
      <c r="M18" s="647"/>
      <c r="N18" s="647"/>
      <c r="O18" s="647"/>
      <c r="P18" s="647"/>
      <c r="Q18" s="647"/>
      <c r="R18" s="647"/>
      <c r="S18" s="648"/>
    </row>
    <row r="19" spans="1:19">
      <c r="A19" s="33" t="s">
        <v>1086</v>
      </c>
      <c r="B19" s="56">
        <v>0</v>
      </c>
      <c r="C19" s="5">
        <f t="shared" si="0"/>
        <v>0</v>
      </c>
      <c r="D19" s="5">
        <f t="shared" si="1"/>
        <v>0</v>
      </c>
      <c r="F19" s="200"/>
      <c r="J19" s="646"/>
      <c r="K19" s="647"/>
      <c r="L19" s="647"/>
      <c r="M19" s="647"/>
      <c r="N19" s="647"/>
      <c r="O19" s="647"/>
      <c r="P19" s="647"/>
      <c r="Q19" s="647"/>
      <c r="R19" s="647"/>
      <c r="S19" s="648"/>
    </row>
    <row r="20" spans="1:19">
      <c r="A20" s="33" t="s">
        <v>1132</v>
      </c>
      <c r="B20" s="56">
        <v>0</v>
      </c>
      <c r="C20" s="5">
        <f t="shared" si="0"/>
        <v>0</v>
      </c>
      <c r="D20" s="5">
        <f t="shared" si="1"/>
        <v>0</v>
      </c>
      <c r="E20" t="s">
        <v>1085</v>
      </c>
      <c r="F20" s="200"/>
      <c r="J20" s="646" t="s">
        <v>1535</v>
      </c>
      <c r="K20" s="647"/>
      <c r="L20" s="647"/>
      <c r="M20" s="647"/>
      <c r="N20" s="647"/>
      <c r="O20" s="647"/>
      <c r="P20" s="647"/>
      <c r="Q20" s="647"/>
      <c r="R20" s="647"/>
      <c r="S20" s="648"/>
    </row>
    <row r="21" spans="1:19" ht="16.2">
      <c r="A21" s="33" t="s">
        <v>1087</v>
      </c>
      <c r="B21" s="57">
        <v>0</v>
      </c>
      <c r="C21" s="50">
        <f t="shared" si="0"/>
        <v>0</v>
      </c>
      <c r="D21" s="50">
        <f t="shared" si="1"/>
        <v>0</v>
      </c>
      <c r="F21" s="200"/>
      <c r="J21" s="646" t="s">
        <v>1540</v>
      </c>
      <c r="K21" s="647"/>
      <c r="L21" s="647"/>
      <c r="M21" s="647"/>
      <c r="N21" s="647"/>
      <c r="O21" s="647"/>
      <c r="P21" s="647"/>
      <c r="Q21" s="647"/>
      <c r="R21" s="647"/>
      <c r="S21" s="648"/>
    </row>
    <row r="22" spans="1:19">
      <c r="A22" s="33" t="s">
        <v>1088</v>
      </c>
      <c r="B22" s="5">
        <f>SUM(B15:B21)</f>
        <v>0</v>
      </c>
      <c r="C22" s="1">
        <v>0</v>
      </c>
      <c r="D22" s="5">
        <f>SUM(D15:D21)</f>
        <v>0</v>
      </c>
      <c r="F22" s="200"/>
      <c r="J22" s="646" t="s">
        <v>1536</v>
      </c>
      <c r="K22" s="647"/>
      <c r="L22" s="647"/>
      <c r="M22" s="647"/>
      <c r="N22" s="647"/>
      <c r="O22" s="647"/>
      <c r="P22" s="647"/>
      <c r="Q22" s="647"/>
      <c r="R22" s="647"/>
      <c r="S22" s="648"/>
    </row>
    <row r="23" spans="1:19">
      <c r="A23" s="33"/>
      <c r="F23" s="200"/>
      <c r="J23" s="646" t="s">
        <v>1541</v>
      </c>
      <c r="K23" s="647"/>
      <c r="L23" s="647"/>
      <c r="M23" s="647"/>
      <c r="N23" s="647"/>
      <c r="O23" s="647"/>
      <c r="P23" s="647"/>
      <c r="Q23" s="647"/>
      <c r="R23" s="647"/>
      <c r="S23" s="648"/>
    </row>
    <row r="24" spans="1:19">
      <c r="A24" s="33" t="s">
        <v>60</v>
      </c>
      <c r="F24" s="200"/>
      <c r="J24" s="646" t="s">
        <v>1537</v>
      </c>
      <c r="K24" s="647"/>
      <c r="L24" s="647"/>
      <c r="M24" s="647"/>
      <c r="N24" s="647"/>
      <c r="O24" s="647"/>
      <c r="P24" s="647"/>
      <c r="Q24" s="647"/>
      <c r="R24" s="647"/>
      <c r="S24" s="648"/>
    </row>
    <row r="25" spans="1:19">
      <c r="A25" s="33" t="s">
        <v>1089</v>
      </c>
      <c r="D25" s="51">
        <f>VLOOKUP($F$1,Indirects!$D$7:$I$354,5,FALSE)</f>
        <v>0.16400000000000001</v>
      </c>
      <c r="F25" s="200"/>
      <c r="J25" s="646" t="s">
        <v>1538</v>
      </c>
      <c r="K25" s="647"/>
      <c r="L25" s="647"/>
      <c r="M25" s="647"/>
      <c r="N25" s="647"/>
      <c r="O25" s="647"/>
      <c r="P25" s="647"/>
      <c r="Q25" s="647"/>
      <c r="R25" s="647"/>
      <c r="S25" s="648"/>
    </row>
    <row r="26" spans="1:19">
      <c r="A26" s="33" t="s">
        <v>1987</v>
      </c>
      <c r="B26" s="48"/>
      <c r="D26" s="48">
        <f>ROUND((D15+D16+D17+D20)*D25,2)</f>
        <v>0</v>
      </c>
      <c r="F26" s="200"/>
      <c r="J26" s="646" t="s">
        <v>1539</v>
      </c>
      <c r="K26" s="647"/>
      <c r="L26" s="647"/>
      <c r="M26" s="647"/>
      <c r="N26" s="647"/>
      <c r="O26" s="647"/>
      <c r="P26" s="647"/>
      <c r="Q26" s="647"/>
      <c r="R26" s="647"/>
      <c r="S26" s="648"/>
    </row>
    <row r="27" spans="1:19" ht="16.2">
      <c r="A27" s="47" t="s">
        <v>1090</v>
      </c>
      <c r="B27" s="2"/>
      <c r="D27" s="52">
        <f>+D22+D26</f>
        <v>0</v>
      </c>
      <c r="F27" s="200"/>
      <c r="J27" s="646"/>
      <c r="K27" s="647"/>
      <c r="L27" s="647"/>
      <c r="M27" s="647"/>
      <c r="N27" s="647"/>
      <c r="O27" s="647"/>
      <c r="P27" s="647"/>
      <c r="Q27" s="647"/>
      <c r="R27" s="647"/>
      <c r="S27" s="648"/>
    </row>
    <row r="28" spans="1:19">
      <c r="A28" s="33"/>
      <c r="F28" s="200"/>
      <c r="J28" s="646" t="s">
        <v>1986</v>
      </c>
      <c r="K28" s="647"/>
      <c r="L28" s="647"/>
      <c r="M28" s="647"/>
      <c r="N28" s="647"/>
      <c r="O28" s="647"/>
      <c r="P28" s="647"/>
      <c r="Q28" s="647"/>
      <c r="R28" s="647"/>
      <c r="S28" s="648"/>
    </row>
    <row r="29" spans="1:19" ht="16.2">
      <c r="A29" s="53" t="s">
        <v>1091</v>
      </c>
      <c r="B29" s="5"/>
      <c r="D29" s="54">
        <f>+D12-D27</f>
        <v>0</v>
      </c>
      <c r="F29" s="200"/>
      <c r="J29" s="646"/>
      <c r="K29" s="647"/>
      <c r="L29" s="647"/>
      <c r="M29" s="647"/>
      <c r="N29" s="647"/>
      <c r="O29" s="647"/>
      <c r="P29" s="647"/>
      <c r="Q29" s="647"/>
      <c r="R29" s="647"/>
      <c r="S29" s="648"/>
    </row>
    <row r="30" spans="1:19">
      <c r="F30" s="200"/>
      <c r="J30" s="361"/>
      <c r="K30" s="53"/>
      <c r="L30" s="53"/>
      <c r="M30" s="53"/>
      <c r="N30" s="53"/>
      <c r="O30" s="53"/>
      <c r="P30" s="53"/>
      <c r="Q30" s="53"/>
      <c r="R30" s="53"/>
      <c r="S30" s="362"/>
    </row>
    <row r="31" spans="1:19">
      <c r="F31" s="200"/>
      <c r="J31" s="658" t="s">
        <v>1534</v>
      </c>
      <c r="K31" s="659"/>
      <c r="L31" s="659"/>
      <c r="M31" s="659"/>
      <c r="N31" s="659"/>
      <c r="O31" s="659"/>
      <c r="P31" s="659"/>
      <c r="Q31" s="659"/>
      <c r="R31" s="659"/>
      <c r="S31" s="660"/>
    </row>
    <row r="32" spans="1:19">
      <c r="A32" t="str">
        <f>"2021-22 "&amp;IF(B32&gt;0,"Balance","Loan-Deficit")</f>
        <v>2021-22 Loan-Deficit</v>
      </c>
      <c r="B32" s="2">
        <f>IF(ISNA(VLOOKUP($A$4,'Food Svc Carryover'!$C$7:$G$425,3,FALSE)),0,VLOOKUP($A$4,'Food Svc Carryover'!$C$7:$G$425,3,FALSE))</f>
        <v>-444868.54173117736</v>
      </c>
      <c r="F32" s="200"/>
      <c r="J32" s="658"/>
      <c r="K32" s="659"/>
      <c r="L32" s="659"/>
      <c r="M32" s="659"/>
      <c r="N32" s="659"/>
      <c r="O32" s="659"/>
      <c r="P32" s="659"/>
      <c r="Q32" s="659"/>
      <c r="R32" s="659"/>
      <c r="S32" s="660"/>
    </row>
    <row r="33" spans="1:19" ht="15" customHeight="1" thickBot="1">
      <c r="A33" t="str">
        <f>"2022-23 "&amp;IF(B33&gt;0,"Balance","Loan-Deficit")</f>
        <v>2022-23 Loan-Deficit</v>
      </c>
      <c r="B33" s="2">
        <f>IF(ISNA(VLOOKUP($A$4,'Food Svc Carryover'!$C$7:$G$425,4,FALSE)),0,VLOOKUP($A$4,'Food Svc Carryover'!$C$7:$G$425,4,FALSE))</f>
        <v>-318946.78542409418</v>
      </c>
      <c r="F33" s="200"/>
      <c r="J33" s="661"/>
      <c r="K33" s="662"/>
      <c r="L33" s="662"/>
      <c r="M33" s="662"/>
      <c r="N33" s="662"/>
      <c r="O33" s="662"/>
      <c r="P33" s="662"/>
      <c r="Q33" s="662"/>
      <c r="R33" s="662"/>
      <c r="S33" s="663"/>
    </row>
    <row r="34" spans="1:19">
      <c r="A34" t="str">
        <f>"2023-24 "&amp;IF(B34&gt;0,"Balance","Loan-Deficit")</f>
        <v>2023-24 Loan-Deficit</v>
      </c>
      <c r="B34" s="2">
        <f>IF(ISNA(VLOOKUP($A$4,'Food Svc Carryover'!$C$7:$G$425,5,FALSE)),0,VLOOKUP($A$4,'Food Svc Carryover'!$C$7:$G$425,5,FALSE))</f>
        <v>-572454.67753600003</v>
      </c>
      <c r="F34" s="200"/>
    </row>
    <row r="35" spans="1:19" ht="15.6">
      <c r="A35" t="str">
        <f>"2024-25 "&amp;IF(B35&gt;0,"Balance","Loan-Deficit")</f>
        <v>2024-25 Loan-Deficit</v>
      </c>
      <c r="B35" s="2">
        <f>IF(ISNA(VLOOKUP($A$4,'Food Svc Carryover'!$C$7:$H$425,6,FALSE)),0,VLOOKUP($A$4,'Food Svc Carryover'!$C$7:$H$425,6,FALSE))</f>
        <v>-692400.3529056781</v>
      </c>
      <c r="F35" s="200"/>
      <c r="J35" s="75" t="s">
        <v>1472</v>
      </c>
    </row>
    <row r="36" spans="1:19">
      <c r="A36" t="str">
        <f>"2025-26 "&amp;IF(B36&gt;0,"Balance","Loan-Deficit")</f>
        <v>2025-26 Loan-Deficit</v>
      </c>
      <c r="B36" s="2">
        <f>D29</f>
        <v>0</v>
      </c>
      <c r="D36" s="33"/>
      <c r="F36" s="200"/>
      <c r="J36" s="650" t="s">
        <v>2387</v>
      </c>
      <c r="K36" s="650"/>
      <c r="L36" s="650"/>
      <c r="M36" s="650"/>
      <c r="N36" s="650"/>
      <c r="O36" s="650"/>
      <c r="P36" s="650"/>
      <c r="Q36" s="650"/>
      <c r="R36" s="650"/>
      <c r="S36" s="650"/>
    </row>
    <row r="37" spans="1:19" ht="16.2">
      <c r="A37" t="str">
        <f>IF(B34+B35+B36&lt;0,"2025-26 Net Loan-Deficit Carryforward","2025-26 Net Balance Carryforward")</f>
        <v>2025-26 Net Loan-Deficit Carryforward</v>
      </c>
      <c r="B37" s="54">
        <f>SUM(B32:B36)</f>
        <v>-2028670.3575969497</v>
      </c>
      <c r="C37" s="51">
        <f>IF(B37&gt;0,IF(D27=0,0,B37/D27),0)</f>
        <v>0</v>
      </c>
      <c r="D37" s="33"/>
      <c r="F37" s="200"/>
      <c r="J37" s="650"/>
      <c r="K37" s="650"/>
      <c r="L37" s="650"/>
      <c r="M37" s="650"/>
      <c r="N37" s="650"/>
      <c r="O37" s="650"/>
      <c r="P37" s="650"/>
      <c r="Q37" s="650"/>
      <c r="R37" s="650"/>
      <c r="S37" s="650"/>
    </row>
    <row r="38" spans="1:19">
      <c r="A38" t="s">
        <v>1092</v>
      </c>
      <c r="B38" s="5">
        <f>D27/9*3</f>
        <v>0</v>
      </c>
      <c r="C38" s="51"/>
      <c r="D38" s="33"/>
      <c r="F38" s="200"/>
      <c r="J38" s="650"/>
      <c r="K38" s="650"/>
      <c r="L38" s="650"/>
      <c r="M38" s="650"/>
      <c r="N38" s="650"/>
      <c r="O38" s="650"/>
      <c r="P38" s="650"/>
      <c r="Q38" s="650"/>
      <c r="R38" s="650"/>
      <c r="S38" s="650"/>
    </row>
    <row r="39" spans="1:19" ht="17.25" customHeight="1">
      <c r="A39" s="223" t="str">
        <f>IF(B37&gt;B38,"Excess Cash Resources","")</f>
        <v/>
      </c>
      <c r="B39" s="55">
        <f>IF(B37&gt;B38,B37-B38,0)</f>
        <v>0</v>
      </c>
      <c r="F39" s="200"/>
      <c r="J39" s="650"/>
      <c r="K39" s="650"/>
      <c r="L39" s="650"/>
      <c r="M39" s="650"/>
      <c r="N39" s="650"/>
      <c r="O39" s="650"/>
      <c r="P39" s="650"/>
      <c r="Q39" s="650"/>
      <c r="R39" s="650"/>
      <c r="S39" s="650"/>
    </row>
    <row r="40" spans="1:19">
      <c r="A40" s="224" t="str">
        <f>IF(B37&lt;0,"","Net Balance as Percentage of Expenditures")</f>
        <v/>
      </c>
      <c r="C40" s="72">
        <f>IF(B37&gt;0,B37/D27,0)</f>
        <v>0</v>
      </c>
      <c r="F40" s="200"/>
      <c r="J40" s="650"/>
      <c r="K40" s="650"/>
      <c r="L40" s="650"/>
      <c r="M40" s="650"/>
      <c r="N40" s="650"/>
      <c r="O40" s="650"/>
      <c r="P40" s="650"/>
      <c r="Q40" s="650"/>
      <c r="R40" s="650"/>
      <c r="S40" s="650"/>
    </row>
    <row r="41" spans="1:19">
      <c r="A41" s="33"/>
      <c r="C41" s="72"/>
      <c r="F41" s="200"/>
      <c r="J41" s="221"/>
      <c r="K41" s="221"/>
      <c r="L41" s="221"/>
      <c r="M41" s="221"/>
      <c r="N41" s="221"/>
      <c r="O41" s="221"/>
      <c r="P41" s="221"/>
      <c r="Q41" s="221"/>
      <c r="R41" s="221"/>
      <c r="S41" s="221"/>
    </row>
    <row r="42" spans="1:19">
      <c r="A42" s="639" t="s">
        <v>1093</v>
      </c>
      <c r="B42" s="639"/>
      <c r="C42" s="639"/>
      <c r="J42" s="221"/>
      <c r="K42" s="221"/>
      <c r="L42" s="221"/>
      <c r="M42" s="221"/>
      <c r="N42" s="221"/>
      <c r="O42" s="221"/>
      <c r="P42" s="221"/>
      <c r="Q42" s="221"/>
      <c r="R42" s="221"/>
      <c r="S42" s="221"/>
    </row>
    <row r="43" spans="1:19" ht="15" customHeight="1">
      <c r="A43" s="639" t="s">
        <v>1997</v>
      </c>
      <c r="B43" s="639"/>
      <c r="C43" s="639"/>
    </row>
    <row r="44" spans="1:19" ht="15" customHeight="1"/>
    <row r="45" spans="1:19">
      <c r="A45" s="63"/>
    </row>
    <row r="46" spans="1:19">
      <c r="A46" t="s">
        <v>1198</v>
      </c>
    </row>
    <row r="47" spans="1:19" ht="30.6" customHeight="1">
      <c r="A47" s="247" t="s">
        <v>1128</v>
      </c>
      <c r="B47" s="248"/>
      <c r="C47" s="248"/>
      <c r="D47" s="248"/>
      <c r="E47" s="437"/>
      <c r="F47" s="437"/>
      <c r="J47" s="220"/>
      <c r="K47" s="220"/>
      <c r="L47" s="220"/>
      <c r="M47" s="220"/>
    </row>
    <row r="48" spans="1:19">
      <c r="J48" s="220"/>
      <c r="K48" s="220"/>
      <c r="L48" s="220"/>
      <c r="M48" s="220"/>
    </row>
    <row r="49" spans="10:14" ht="46.5" customHeight="1">
      <c r="J49" s="220"/>
      <c r="K49" s="220"/>
      <c r="L49" s="220"/>
      <c r="M49" s="220"/>
    </row>
    <row r="52" spans="10:14">
      <c r="J52" s="7"/>
    </row>
    <row r="53" spans="10:14">
      <c r="J53" s="7"/>
      <c r="N53" s="48"/>
    </row>
    <row r="54" spans="10:14">
      <c r="J54" s="7"/>
      <c r="N54" s="48"/>
    </row>
    <row r="55" spans="10:14">
      <c r="J55" s="7"/>
      <c r="N55" s="48"/>
    </row>
    <row r="56" spans="10:14">
      <c r="J56" s="7"/>
      <c r="N56" s="48"/>
    </row>
    <row r="57" spans="10:14">
      <c r="N57" s="48"/>
    </row>
    <row r="58" spans="10:14">
      <c r="N58" s="48"/>
    </row>
  </sheetData>
  <mergeCells count="25">
    <mergeCell ref="J31:S33"/>
    <mergeCell ref="J36:S40"/>
    <mergeCell ref="J1:S1"/>
    <mergeCell ref="J27:S27"/>
    <mergeCell ref="J22:S22"/>
    <mergeCell ref="J23:S23"/>
    <mergeCell ref="J24:S24"/>
    <mergeCell ref="J25:S25"/>
    <mergeCell ref="J26:S26"/>
    <mergeCell ref="A1:C1"/>
    <mergeCell ref="A2:C2"/>
    <mergeCell ref="A42:C42"/>
    <mergeCell ref="A43:C43"/>
    <mergeCell ref="J2:S2"/>
    <mergeCell ref="J3:S3"/>
    <mergeCell ref="J5:S9"/>
    <mergeCell ref="J10:S11"/>
    <mergeCell ref="J12:S13"/>
    <mergeCell ref="J14:S14"/>
    <mergeCell ref="J15:S17"/>
    <mergeCell ref="J18:S19"/>
    <mergeCell ref="J20:S20"/>
    <mergeCell ref="J21:S21"/>
    <mergeCell ref="J4:S4"/>
    <mergeCell ref="J28:S29"/>
  </mergeCells>
  <conditionalFormatting sqref="B39">
    <cfRule type="cellIs" dxfId="41" priority="2" operator="equal">
      <formula>0</formula>
    </cfRule>
  </conditionalFormatting>
  <conditionalFormatting sqref="C37:C38">
    <cfRule type="cellIs" dxfId="40" priority="3" operator="equal">
      <formula>0</formula>
    </cfRule>
    <cfRule type="cellIs" dxfId="39" priority="4" operator="greaterThan">
      <formula>0.3333</formula>
    </cfRule>
  </conditionalFormatting>
  <conditionalFormatting sqref="C40:C41">
    <cfRule type="cellIs" dxfId="38" priority="1" operator="equal">
      <formula>0</formula>
    </cfRule>
  </conditionalFormatting>
  <dataValidations count="1">
    <dataValidation type="decimal" errorStyle="information" operator="lessThanOrEqual" allowBlank="1" showInputMessage="1" showErrorMessage="1" errorTitle="Enter As Negative" error="Please enter credit transfers as a negative amount." sqref="C22" xr:uid="{00000000-0002-0000-0A00-000000000000}">
      <formula1>0</formula1>
    </dataValidation>
  </dataValidations>
  <hyperlinks>
    <hyperlink ref="A3" location="'Fund Balance Summary'!A1" display="(Return to summary sheet)" xr:uid="{00000000-0004-0000-0A00-000000000000}"/>
  </hyperlinks>
  <pageMargins left="0.5" right="0.25" top="0.75" bottom="0.75" header="0.3" footer="0.3"/>
  <pageSetup scale="87" orientation="portrait" r:id="rId1"/>
  <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66FF33"/>
  </sheetPr>
  <dimension ref="A1:BK366"/>
  <sheetViews>
    <sheetView workbookViewId="0">
      <pane ySplit="6" topLeftCell="A257" activePane="bottomLeft" state="frozen"/>
      <selection pane="bottomLeft" activeCell="E277" sqref="E277:I277"/>
    </sheetView>
  </sheetViews>
  <sheetFormatPr defaultColWidth="9.109375" defaultRowHeight="14.4"/>
  <cols>
    <col min="1" max="1" width="6.33203125" style="45" bestFit="1" customWidth="1"/>
    <col min="2" max="2" width="5.44140625" style="45" bestFit="1" customWidth="1"/>
    <col min="3" max="3" width="6.6640625" style="45" bestFit="1" customWidth="1"/>
    <col min="4" max="4" width="34.88671875" style="45" bestFit="1" customWidth="1"/>
    <col min="5" max="5" width="13.109375" style="45" customWidth="1"/>
    <col min="6" max="8" width="12.88671875" style="45" bestFit="1" customWidth="1"/>
    <col min="9" max="9" width="11.44140625" style="45" bestFit="1" customWidth="1"/>
    <col min="10" max="10" width="4" style="45" customWidth="1"/>
    <col min="11" max="11" width="2" bestFit="1" customWidth="1"/>
    <col min="12" max="12" width="3" hidden="1" customWidth="1"/>
    <col min="13" max="13" width="6.33203125" bestFit="1" customWidth="1"/>
    <col min="14" max="14" width="5.44140625" bestFit="1" customWidth="1"/>
    <col min="15" max="15" width="6" style="45" bestFit="1" customWidth="1"/>
    <col min="16" max="16" width="34.88671875" style="45" bestFit="1" customWidth="1"/>
    <col min="17" max="17" width="12.88671875" style="45" bestFit="1" customWidth="1"/>
    <col min="18" max="18" width="5.6640625" style="45" bestFit="1" customWidth="1"/>
    <col min="19" max="19" width="2.88671875" style="45" customWidth="1"/>
    <col min="20" max="20" width="2" style="45" bestFit="1" customWidth="1"/>
    <col min="21" max="21" width="2.88671875" style="45" customWidth="1"/>
    <col min="22" max="22" width="5.44140625" style="45" bestFit="1" customWidth="1"/>
    <col min="23" max="23" width="6.6640625" style="45" bestFit="1" customWidth="1"/>
    <col min="24" max="24" width="17.88671875" style="45" customWidth="1"/>
    <col min="25" max="25" width="12.6640625" style="45" customWidth="1"/>
    <col min="26" max="28" width="12.88671875" style="45" bestFit="1" customWidth="1"/>
    <col min="29" max="29" width="11.44140625" style="45" bestFit="1" customWidth="1"/>
    <col min="30" max="30" width="2.6640625" style="45" customWidth="1"/>
    <col min="31" max="32" width="1.5546875" style="45" customWidth="1"/>
    <col min="33" max="33" width="2" style="45" bestFit="1" customWidth="1"/>
    <col min="34" max="34" width="2.44140625" style="45" customWidth="1"/>
    <col min="35" max="35" width="6.88671875" bestFit="1" customWidth="1"/>
    <col min="36" max="36" width="19.33203125" customWidth="1"/>
    <col min="37" max="40" width="12.88671875" bestFit="1" customWidth="1"/>
    <col min="41" max="41" width="13.88671875" bestFit="1" customWidth="1"/>
    <col min="42" max="42" width="12.109375" bestFit="1" customWidth="1"/>
    <col min="43" max="43" width="6.109375" customWidth="1"/>
    <col min="44" max="44" width="13.88671875" bestFit="1" customWidth="1"/>
    <col min="45" max="45" width="2.6640625" customWidth="1"/>
    <col min="46" max="46" width="3.88671875" customWidth="1"/>
    <col min="47" max="48" width="12.88671875" bestFit="1" customWidth="1"/>
    <col min="49" max="49" width="12.88671875" style="45" bestFit="1" customWidth="1"/>
    <col min="50" max="50" width="13.5546875" style="45" bestFit="1" customWidth="1"/>
    <col min="51" max="51" width="12.44140625" style="45" bestFit="1" customWidth="1"/>
    <col min="52" max="52" width="2.109375" style="45" customWidth="1"/>
    <col min="53" max="53" width="11.88671875" style="45" customWidth="1"/>
    <col min="54" max="54" width="13.5546875" style="45" bestFit="1" customWidth="1"/>
    <col min="55" max="55" width="11.88671875" style="45" bestFit="1" customWidth="1"/>
    <col min="56" max="56" width="3.21875" style="45" customWidth="1"/>
    <col min="57" max="57" width="9.109375" style="45"/>
    <col min="58" max="59" width="4" style="45" bestFit="1" customWidth="1"/>
    <col min="60" max="16384" width="9.109375" style="45"/>
  </cols>
  <sheetData>
    <row r="1" spans="1:57" ht="15" thickBot="1">
      <c r="C1" s="430"/>
      <c r="D1" s="430"/>
      <c r="E1" s="430"/>
      <c r="F1" s="430"/>
      <c r="G1" s="430"/>
      <c r="H1" s="430"/>
      <c r="M1" s="429"/>
      <c r="N1" s="429"/>
      <c r="O1" s="430"/>
      <c r="P1" s="430"/>
      <c r="Q1" s="430"/>
      <c r="R1" s="430"/>
      <c r="W1" s="430"/>
      <c r="X1" s="430"/>
      <c r="Y1" s="430"/>
      <c r="Z1" s="430"/>
      <c r="AA1" s="430"/>
      <c r="AB1" s="430"/>
      <c r="AI1" s="438"/>
      <c r="AJ1" s="438"/>
      <c r="AK1" s="438"/>
      <c r="AL1" s="438"/>
      <c r="AM1" s="438"/>
      <c r="AN1" s="438"/>
      <c r="AO1" s="438"/>
      <c r="AP1" s="438"/>
      <c r="AQ1" s="438"/>
      <c r="AR1" s="438"/>
      <c r="AS1" s="438"/>
      <c r="AT1" s="438"/>
      <c r="AU1" s="438"/>
      <c r="AV1" s="438"/>
      <c r="AW1" s="439"/>
      <c r="AX1" s="439"/>
      <c r="AY1" s="439"/>
      <c r="AZ1" s="439"/>
      <c r="BA1" s="439"/>
      <c r="BB1" s="439"/>
      <c r="BC1" s="439"/>
    </row>
    <row r="2" spans="1:57" ht="16.8" customHeight="1">
      <c r="AI2" s="477" t="s">
        <v>2438</v>
      </c>
      <c r="AJ2" s="440"/>
      <c r="AK2" s="440"/>
      <c r="AL2" s="440"/>
      <c r="AM2" s="440"/>
      <c r="AN2" s="440"/>
      <c r="AO2" s="440"/>
      <c r="AP2" s="440"/>
      <c r="AQ2" s="440"/>
      <c r="AR2" s="441"/>
      <c r="AS2" s="438"/>
      <c r="AT2" s="438"/>
      <c r="AU2" s="467" t="s">
        <v>2439</v>
      </c>
      <c r="AV2" s="440"/>
      <c r="AW2" s="456"/>
      <c r="AX2" s="456"/>
      <c r="AY2" s="456"/>
      <c r="AZ2" s="456"/>
      <c r="BA2" s="456"/>
      <c r="BB2" s="456"/>
      <c r="BC2" s="457"/>
    </row>
    <row r="3" spans="1:57">
      <c r="A3" s="526"/>
      <c r="B3" s="526"/>
      <c r="C3" s="526"/>
      <c r="D3" s="527" t="s">
        <v>2622</v>
      </c>
      <c r="E3" s="45" t="s">
        <v>2383</v>
      </c>
      <c r="P3" s="45" t="s">
        <v>2579</v>
      </c>
      <c r="Y3" s="45" t="s">
        <v>2384</v>
      </c>
      <c r="AI3" s="442"/>
      <c r="AJ3" s="438"/>
      <c r="AK3" s="479" t="s">
        <v>1632</v>
      </c>
      <c r="AL3" s="443" t="s">
        <v>1632</v>
      </c>
      <c r="AM3" s="438"/>
      <c r="AN3" s="438"/>
      <c r="AO3" s="438"/>
      <c r="AP3" s="438"/>
      <c r="AQ3" s="438"/>
      <c r="AR3" s="444"/>
      <c r="AS3" s="438"/>
      <c r="AT3" s="438"/>
      <c r="AU3" s="458"/>
      <c r="AV3" s="438"/>
      <c r="AW3" s="439"/>
      <c r="AX3" s="439"/>
      <c r="AY3" s="439"/>
      <c r="AZ3" s="439"/>
      <c r="BA3" s="439"/>
      <c r="BB3" s="439"/>
      <c r="BC3" s="459"/>
    </row>
    <row r="4" spans="1:57">
      <c r="Q4" s="529">
        <f>SUM(Q7:Q336)</f>
        <v>-82326476.03233695</v>
      </c>
      <c r="AI4" s="442"/>
      <c r="AJ4" s="438"/>
      <c r="AK4" s="480" t="s">
        <v>2434</v>
      </c>
      <c r="AL4" s="478" t="s">
        <v>2500</v>
      </c>
      <c r="AM4" s="438"/>
      <c r="AN4" s="438"/>
      <c r="AO4" s="438"/>
      <c r="AP4" s="438"/>
      <c r="AQ4" s="438"/>
      <c r="AR4" s="481" t="s">
        <v>2435</v>
      </c>
      <c r="AS4" s="438"/>
      <c r="AT4" s="438"/>
      <c r="AU4" s="708" t="s">
        <v>2620</v>
      </c>
      <c r="AV4" s="709"/>
      <c r="AW4" s="709"/>
      <c r="AX4" s="709"/>
      <c r="AY4" s="439"/>
      <c r="AZ4" s="439"/>
      <c r="BA4" s="439"/>
      <c r="BB4" s="439"/>
      <c r="BC4" s="459"/>
    </row>
    <row r="5" spans="1:57">
      <c r="A5" s="159" t="s">
        <v>2420</v>
      </c>
      <c r="B5" s="580" t="s">
        <v>79</v>
      </c>
      <c r="M5" s="159" t="s">
        <v>79</v>
      </c>
      <c r="N5" s="159" t="s">
        <v>2420</v>
      </c>
      <c r="V5" s="159" t="s">
        <v>2420</v>
      </c>
      <c r="AI5" s="442"/>
      <c r="AJ5" s="438"/>
      <c r="AK5" s="443"/>
      <c r="AL5" s="443" t="s">
        <v>1972</v>
      </c>
      <c r="AM5" s="438"/>
      <c r="AN5" s="438"/>
      <c r="AO5" s="438"/>
      <c r="AP5" s="438"/>
      <c r="AQ5" s="438"/>
      <c r="AR5" s="481" t="s">
        <v>63</v>
      </c>
      <c r="AS5" s="438"/>
      <c r="AT5" s="438"/>
      <c r="AU5" s="442"/>
      <c r="AV5" s="438"/>
      <c r="AW5" s="439"/>
      <c r="AX5" s="439"/>
      <c r="AY5" s="439" t="s">
        <v>2385</v>
      </c>
      <c r="AZ5" s="439"/>
      <c r="BA5" s="439"/>
      <c r="BB5" s="468" t="s">
        <v>2386</v>
      </c>
      <c r="BC5" s="469" t="s">
        <v>2385</v>
      </c>
      <c r="BD5" s="431"/>
      <c r="BE5" s="433"/>
    </row>
    <row r="6" spans="1:57" s="71" customFormat="1" ht="16.8" customHeight="1">
      <c r="A6" s="436" t="s">
        <v>2421</v>
      </c>
      <c r="B6" s="436" t="s">
        <v>2421</v>
      </c>
      <c r="C6" s="70" t="s">
        <v>79</v>
      </c>
      <c r="D6" s="70" t="s">
        <v>826</v>
      </c>
      <c r="E6" s="69" t="s">
        <v>1972</v>
      </c>
      <c r="F6" s="69" t="s">
        <v>2004</v>
      </c>
      <c r="G6" s="69" t="s">
        <v>2308</v>
      </c>
      <c r="H6" s="69" t="s">
        <v>2432</v>
      </c>
      <c r="I6" s="77" t="s">
        <v>827</v>
      </c>
      <c r="M6" s="436" t="s">
        <v>2421</v>
      </c>
      <c r="N6" s="436" t="s">
        <v>2421</v>
      </c>
      <c r="Q6" s="428" t="s">
        <v>2580</v>
      </c>
      <c r="V6" s="436" t="s">
        <v>2421</v>
      </c>
      <c r="W6" s="70" t="s">
        <v>79</v>
      </c>
      <c r="X6" s="70" t="s">
        <v>826</v>
      </c>
      <c r="Y6" s="69" t="s">
        <v>1632</v>
      </c>
      <c r="Z6" s="69" t="s">
        <v>1972</v>
      </c>
      <c r="AA6" s="69" t="s">
        <v>2004</v>
      </c>
      <c r="AB6" s="69" t="s">
        <v>2308</v>
      </c>
      <c r="AC6" s="77" t="s">
        <v>827</v>
      </c>
      <c r="AI6" s="442" t="s">
        <v>79</v>
      </c>
      <c r="AJ6" s="438" t="s">
        <v>826</v>
      </c>
      <c r="AK6" s="69" t="s">
        <v>1632</v>
      </c>
      <c r="AL6" s="69" t="s">
        <v>1972</v>
      </c>
      <c r="AM6" s="69" t="s">
        <v>2004</v>
      </c>
      <c r="AN6" s="69" t="s">
        <v>2308</v>
      </c>
      <c r="AO6" s="443" t="s">
        <v>827</v>
      </c>
      <c r="AP6" s="438"/>
      <c r="AQ6" s="438"/>
      <c r="AR6" s="444"/>
      <c r="AS6" s="438"/>
      <c r="AT6" s="438"/>
      <c r="AU6" s="69" t="s">
        <v>1972</v>
      </c>
      <c r="AV6" s="69" t="s">
        <v>2004</v>
      </c>
      <c r="AW6" s="69" t="s">
        <v>2308</v>
      </c>
      <c r="AX6" s="460"/>
      <c r="AY6" s="460"/>
      <c r="AZ6" s="460"/>
      <c r="BA6" s="504" t="s">
        <v>2432</v>
      </c>
      <c r="BB6" s="445" t="s">
        <v>2621</v>
      </c>
      <c r="BC6" s="461"/>
      <c r="BD6" s="432"/>
      <c r="BE6" s="434"/>
    </row>
    <row r="7" spans="1:57" ht="17.399999999999999" customHeight="1">
      <c r="A7" s="415">
        <v>1</v>
      </c>
      <c r="B7" s="415">
        <v>76</v>
      </c>
      <c r="C7" t="s">
        <v>297</v>
      </c>
      <c r="D7" t="s">
        <v>887</v>
      </c>
      <c r="E7" s="364">
        <v>-444868.54173117736</v>
      </c>
      <c r="F7" s="364">
        <v>-318946.78542409418</v>
      </c>
      <c r="G7" s="369">
        <v>-572454.67753600003</v>
      </c>
      <c r="H7" s="364">
        <v>-692400.3529056781</v>
      </c>
      <c r="I7" s="350">
        <f t="shared" ref="I7:I70" si="0">SUM(E7:H7)</f>
        <v>-2028670.3575969497</v>
      </c>
      <c r="K7" s="66">
        <f t="shared" ref="K7:K70" si="1">+O7-C7</f>
        <v>0</v>
      </c>
      <c r="L7" s="66"/>
      <c r="M7" s="415">
        <v>1</v>
      </c>
      <c r="N7" s="415">
        <v>76</v>
      </c>
      <c r="O7" s="66" t="s">
        <v>297</v>
      </c>
      <c r="P7" t="s">
        <v>887</v>
      </c>
      <c r="Q7" s="364">
        <v>-692400.3529056781</v>
      </c>
      <c r="R7" t="s">
        <v>2580</v>
      </c>
      <c r="S7" s="250"/>
      <c r="T7" s="159">
        <f>+W7-C7</f>
        <v>0</v>
      </c>
      <c r="U7" s="250"/>
      <c r="V7" s="415">
        <v>1</v>
      </c>
      <c r="W7" t="s">
        <v>297</v>
      </c>
      <c r="X7" t="s">
        <v>887</v>
      </c>
      <c r="Y7" s="364">
        <v>0</v>
      </c>
      <c r="Z7" s="364">
        <v>-444868.54173117736</v>
      </c>
      <c r="AA7" s="369">
        <v>-318946.78542409418</v>
      </c>
      <c r="AB7" s="505">
        <v>-572454.67753600003</v>
      </c>
      <c r="AC7" s="350">
        <f t="shared" ref="AC7:AC38" si="2">SUM(Y7:AB7)</f>
        <v>-1336270.0046912716</v>
      </c>
      <c r="AG7" s="159">
        <f t="shared" ref="AG7:AG38" si="3">+AI7-W7</f>
        <v>0</v>
      </c>
      <c r="AI7" s="442" t="s">
        <v>297</v>
      </c>
      <c r="AJ7" t="s">
        <v>887</v>
      </c>
      <c r="AK7" s="364">
        <v>0</v>
      </c>
      <c r="AL7" s="364">
        <v>-444868.54173117736</v>
      </c>
      <c r="AM7" s="369">
        <v>-318946.78542409418</v>
      </c>
      <c r="AN7" s="505">
        <v>-572454.67753600003</v>
      </c>
      <c r="AO7" s="581">
        <f>SUM(AK7:AN7)</f>
        <v>-1336270.0046912716</v>
      </c>
      <c r="AP7" s="448"/>
      <c r="AQ7" s="438"/>
      <c r="AR7" s="449">
        <f t="shared" ref="AR7:AR38" si="4">SUM(AL7:AN7)</f>
        <v>-1336270.0046912716</v>
      </c>
      <c r="AS7" s="438"/>
      <c r="AT7" s="438"/>
      <c r="AU7" s="364">
        <v>-444868.54173117736</v>
      </c>
      <c r="AV7" s="369">
        <v>-318946.78542409418</v>
      </c>
      <c r="AW7" s="505">
        <v>-572454.67753600003</v>
      </c>
      <c r="AX7" s="250">
        <f t="shared" ref="AX7:AX70" si="5">SUM(AU7:AW7)</f>
        <v>-1336270.0046912716</v>
      </c>
      <c r="AY7" s="250">
        <f t="shared" ref="AY7:AY13" si="6">+AX7-AR7</f>
        <v>0</v>
      </c>
      <c r="AZ7" s="439"/>
      <c r="BA7" s="582">
        <v>-692400.3529056781</v>
      </c>
      <c r="BB7" s="462">
        <f t="shared" ref="BB7:BB70" si="7">+BA7+AX7</f>
        <v>-2028670.3575969497</v>
      </c>
      <c r="BC7" s="463">
        <f t="shared" ref="BC7:BC38" si="8">+BB7-I7</f>
        <v>0</v>
      </c>
      <c r="BD7" s="431"/>
      <c r="BE7" s="435">
        <f t="shared" ref="BE7:BE38" si="9">+O7-C7</f>
        <v>0</v>
      </c>
    </row>
    <row r="8" spans="1:57" ht="16.8" customHeight="1">
      <c r="A8" s="415">
        <v>2</v>
      </c>
      <c r="B8" s="415">
        <v>154</v>
      </c>
      <c r="C8" t="s">
        <v>424</v>
      </c>
      <c r="D8" t="s">
        <v>942</v>
      </c>
      <c r="E8" s="364">
        <v>-41419.432485000056</v>
      </c>
      <c r="F8" s="364">
        <v>-111591.10373800012</v>
      </c>
      <c r="G8" s="369">
        <v>-121283.03467800008</v>
      </c>
      <c r="H8" s="364">
        <v>-191265.42695399991</v>
      </c>
      <c r="I8" s="350">
        <f t="shared" si="0"/>
        <v>-465558.9978550002</v>
      </c>
      <c r="K8" s="66">
        <f t="shared" si="1"/>
        <v>0</v>
      </c>
      <c r="L8" s="66"/>
      <c r="M8" s="415">
        <v>2</v>
      </c>
      <c r="N8" s="415">
        <v>154</v>
      </c>
      <c r="O8" s="66" t="s">
        <v>424</v>
      </c>
      <c r="P8" t="s">
        <v>942</v>
      </c>
      <c r="Q8" s="364">
        <v>-191265.42695399991</v>
      </c>
      <c r="R8" t="s">
        <v>2580</v>
      </c>
      <c r="S8" s="250"/>
      <c r="T8" s="159">
        <f t="shared" ref="T8:T71" si="10">+W8-C8</f>
        <v>0</v>
      </c>
      <c r="U8" s="250"/>
      <c r="V8" s="415">
        <v>2</v>
      </c>
      <c r="W8" t="s">
        <v>424</v>
      </c>
      <c r="X8" t="s">
        <v>942</v>
      </c>
      <c r="Y8" s="364">
        <v>-51948.342023999969</v>
      </c>
      <c r="Z8" s="364">
        <v>-41419.432485000056</v>
      </c>
      <c r="AA8" s="369">
        <v>-111591.10373800012</v>
      </c>
      <c r="AB8" s="505">
        <v>-121283.03467800008</v>
      </c>
      <c r="AC8" s="350">
        <f t="shared" si="2"/>
        <v>-326241.91292500024</v>
      </c>
      <c r="AG8" s="159">
        <f t="shared" si="3"/>
        <v>0</v>
      </c>
      <c r="AI8" s="442" t="s">
        <v>424</v>
      </c>
      <c r="AJ8" t="s">
        <v>942</v>
      </c>
      <c r="AK8" s="364">
        <v>0</v>
      </c>
      <c r="AL8" s="364">
        <v>-41419.432485000056</v>
      </c>
      <c r="AM8" s="369">
        <v>-111591.10373800012</v>
      </c>
      <c r="AN8" s="505">
        <v>-121283.03467800008</v>
      </c>
      <c r="AO8" s="448">
        <v>-262919.02824700018</v>
      </c>
      <c r="AP8" s="448"/>
      <c r="AQ8" s="438"/>
      <c r="AR8" s="449">
        <f t="shared" si="4"/>
        <v>-274293.57090100029</v>
      </c>
      <c r="AS8" s="438"/>
      <c r="AT8" s="438"/>
      <c r="AU8" s="364">
        <v>-41419.432485000056</v>
      </c>
      <c r="AV8" s="369">
        <v>-111591.10373800012</v>
      </c>
      <c r="AW8" s="505">
        <v>-121283.03467800008</v>
      </c>
      <c r="AX8" s="250">
        <f t="shared" si="5"/>
        <v>-274293.57090100029</v>
      </c>
      <c r="AY8" s="250">
        <f t="shared" si="6"/>
        <v>0</v>
      </c>
      <c r="AZ8" s="439"/>
      <c r="BA8" s="582">
        <v>-191265.42695399991</v>
      </c>
      <c r="BB8" s="462">
        <f t="shared" si="7"/>
        <v>-465558.9978550002</v>
      </c>
      <c r="BC8" s="463">
        <f t="shared" si="8"/>
        <v>0</v>
      </c>
      <c r="BD8" s="431"/>
      <c r="BE8" s="435">
        <f t="shared" si="9"/>
        <v>0</v>
      </c>
    </row>
    <row r="9" spans="1:57" ht="15">
      <c r="A9" s="415">
        <v>3</v>
      </c>
      <c r="B9" s="415">
        <v>165</v>
      </c>
      <c r="C9" t="s">
        <v>446</v>
      </c>
      <c r="D9" t="s">
        <v>952</v>
      </c>
      <c r="E9" s="364">
        <v>-101999.44892000002</v>
      </c>
      <c r="F9" s="364">
        <v>-101494.22172</v>
      </c>
      <c r="G9" s="369">
        <v>-63052.644329000002</v>
      </c>
      <c r="H9" s="364">
        <v>-115642.59785200001</v>
      </c>
      <c r="I9" s="350">
        <f t="shared" si="0"/>
        <v>-382188.91282100009</v>
      </c>
      <c r="K9" s="66">
        <f t="shared" si="1"/>
        <v>0</v>
      </c>
      <c r="L9" s="66"/>
      <c r="M9" s="415">
        <v>3</v>
      </c>
      <c r="N9" s="415">
        <v>165</v>
      </c>
      <c r="O9" s="66" t="s">
        <v>446</v>
      </c>
      <c r="P9" t="s">
        <v>952</v>
      </c>
      <c r="Q9" s="364">
        <v>-115642.59785200001</v>
      </c>
      <c r="R9" t="s">
        <v>2580</v>
      </c>
      <c r="S9" s="250"/>
      <c r="T9" s="159">
        <f t="shared" si="10"/>
        <v>0</v>
      </c>
      <c r="U9" s="250"/>
      <c r="V9" s="415">
        <v>3</v>
      </c>
      <c r="W9" t="s">
        <v>446</v>
      </c>
      <c r="X9" t="s">
        <v>952</v>
      </c>
      <c r="Y9" s="364">
        <v>-106802.44998599999</v>
      </c>
      <c r="Z9" s="364">
        <v>-101999.44892000002</v>
      </c>
      <c r="AA9" s="369">
        <v>-101494.22172</v>
      </c>
      <c r="AB9" s="505">
        <v>-63052.644329000002</v>
      </c>
      <c r="AC9" s="350">
        <f t="shared" si="2"/>
        <v>-373348.76495500002</v>
      </c>
      <c r="AG9" s="159">
        <f t="shared" si="3"/>
        <v>0</v>
      </c>
      <c r="AI9" s="442" t="s">
        <v>446</v>
      </c>
      <c r="AJ9" t="s">
        <v>952</v>
      </c>
      <c r="AK9" s="364">
        <v>0</v>
      </c>
      <c r="AL9" s="364">
        <v>-101999.44892000002</v>
      </c>
      <c r="AM9" s="369">
        <v>-101494.22172</v>
      </c>
      <c r="AN9" s="505">
        <v>-63052.644329000002</v>
      </c>
      <c r="AO9" s="448">
        <v>-358297.25062599999</v>
      </c>
      <c r="AP9" s="448"/>
      <c r="AQ9" s="438"/>
      <c r="AR9" s="449">
        <f t="shared" si="4"/>
        <v>-266546.31496900006</v>
      </c>
      <c r="AS9" s="438"/>
      <c r="AT9" s="438"/>
      <c r="AU9" s="364">
        <v>-101999.44892000002</v>
      </c>
      <c r="AV9" s="369">
        <v>-101494.22172</v>
      </c>
      <c r="AW9" s="505">
        <v>-63052.644329000002</v>
      </c>
      <c r="AX9" s="250">
        <f t="shared" si="5"/>
        <v>-266546.31496900006</v>
      </c>
      <c r="AY9" s="250">
        <f t="shared" si="6"/>
        <v>0</v>
      </c>
      <c r="AZ9" s="439"/>
      <c r="BA9" s="582">
        <v>-115642.59785200001</v>
      </c>
      <c r="BB9" s="462">
        <f t="shared" si="7"/>
        <v>-382188.91282100009</v>
      </c>
      <c r="BC9" s="463">
        <f t="shared" si="8"/>
        <v>0</v>
      </c>
      <c r="BD9" s="431"/>
      <c r="BE9" s="435">
        <f t="shared" si="9"/>
        <v>0</v>
      </c>
    </row>
    <row r="10" spans="1:57" ht="15">
      <c r="A10" s="415">
        <v>4</v>
      </c>
      <c r="B10" s="415">
        <v>221</v>
      </c>
      <c r="C10" t="s">
        <v>548</v>
      </c>
      <c r="D10" t="s">
        <v>999</v>
      </c>
      <c r="E10" s="364">
        <v>-131293.15502931387</v>
      </c>
      <c r="F10" s="364">
        <v>-460910.32963999989</v>
      </c>
      <c r="G10" s="369">
        <v>-472178.81575299986</v>
      </c>
      <c r="H10" s="364">
        <v>-611050.39387999987</v>
      </c>
      <c r="I10" s="350">
        <f t="shared" si="0"/>
        <v>-1675432.6943023135</v>
      </c>
      <c r="K10" s="66">
        <f t="shared" si="1"/>
        <v>0</v>
      </c>
      <c r="L10" s="66"/>
      <c r="M10" s="415">
        <v>4</v>
      </c>
      <c r="N10" s="415">
        <v>221</v>
      </c>
      <c r="O10" s="66" t="s">
        <v>548</v>
      </c>
      <c r="P10" t="s">
        <v>999</v>
      </c>
      <c r="Q10" s="364">
        <v>-611050.39387999987</v>
      </c>
      <c r="R10" t="s">
        <v>2580</v>
      </c>
      <c r="S10" s="250"/>
      <c r="T10" s="159">
        <f t="shared" si="10"/>
        <v>0</v>
      </c>
      <c r="U10" s="250"/>
      <c r="V10" s="415">
        <v>4</v>
      </c>
      <c r="W10" t="s">
        <v>548</v>
      </c>
      <c r="X10" t="s">
        <v>999</v>
      </c>
      <c r="Y10" s="364">
        <v>-389288.57905899989</v>
      </c>
      <c r="Z10" s="364">
        <v>-131293.15502931387</v>
      </c>
      <c r="AA10" s="369">
        <v>-460910.32963999989</v>
      </c>
      <c r="AB10" s="505">
        <v>-472178.81575299986</v>
      </c>
      <c r="AC10" s="350">
        <f t="shared" si="2"/>
        <v>-1453670.8794813135</v>
      </c>
      <c r="AG10" s="159">
        <f t="shared" si="3"/>
        <v>0</v>
      </c>
      <c r="AI10" s="442" t="s">
        <v>548</v>
      </c>
      <c r="AJ10" t="s">
        <v>999</v>
      </c>
      <c r="AK10" s="364">
        <v>0</v>
      </c>
      <c r="AL10" s="364">
        <v>-131293.15502931387</v>
      </c>
      <c r="AM10" s="369">
        <v>-460910.32963999989</v>
      </c>
      <c r="AN10" s="505">
        <v>-472178.81575299986</v>
      </c>
      <c r="AO10" s="448">
        <v>-1348767.3537283137</v>
      </c>
      <c r="AP10" s="448"/>
      <c r="AQ10" s="438"/>
      <c r="AR10" s="449">
        <f t="shared" si="4"/>
        <v>-1064382.3004223136</v>
      </c>
      <c r="AS10" s="438"/>
      <c r="AT10" s="438"/>
      <c r="AU10" s="364">
        <v>-131293.15502931387</v>
      </c>
      <c r="AV10" s="369">
        <v>-460910.32963999989</v>
      </c>
      <c r="AW10" s="505">
        <v>-472178.81575299986</v>
      </c>
      <c r="AX10" s="250">
        <f t="shared" si="5"/>
        <v>-1064382.3004223136</v>
      </c>
      <c r="AY10" s="250">
        <f t="shared" si="6"/>
        <v>0</v>
      </c>
      <c r="AZ10" s="439"/>
      <c r="BA10" s="582">
        <v>-611050.39387999987</v>
      </c>
      <c r="BB10" s="462">
        <f t="shared" si="7"/>
        <v>-1675432.6943023135</v>
      </c>
      <c r="BC10" s="463">
        <f t="shared" si="8"/>
        <v>0</v>
      </c>
      <c r="BD10" s="431"/>
      <c r="BE10" s="435">
        <f t="shared" si="9"/>
        <v>0</v>
      </c>
    </row>
    <row r="11" spans="1:57" ht="15">
      <c r="A11" s="415">
        <v>5</v>
      </c>
      <c r="B11" s="415">
        <v>234</v>
      </c>
      <c r="C11" t="s">
        <v>572</v>
      </c>
      <c r="D11" t="s">
        <v>1008</v>
      </c>
      <c r="E11" s="364">
        <v>-81253.465135879349</v>
      </c>
      <c r="F11" s="364">
        <v>-512503.66440453095</v>
      </c>
      <c r="G11" s="369">
        <v>-471812.5723199998</v>
      </c>
      <c r="H11" s="364">
        <v>-597257.40810789913</v>
      </c>
      <c r="I11" s="350">
        <f t="shared" si="0"/>
        <v>-1662827.1099683093</v>
      </c>
      <c r="K11" s="66">
        <f t="shared" si="1"/>
        <v>0</v>
      </c>
      <c r="L11" s="66"/>
      <c r="M11" s="415">
        <v>5</v>
      </c>
      <c r="N11" s="415">
        <v>234</v>
      </c>
      <c r="O11" s="66" t="s">
        <v>572</v>
      </c>
      <c r="P11" t="s">
        <v>1008</v>
      </c>
      <c r="Q11" s="364">
        <v>-597257.40810789913</v>
      </c>
      <c r="R11" t="s">
        <v>2580</v>
      </c>
      <c r="S11" s="250"/>
      <c r="T11" s="159">
        <f t="shared" si="10"/>
        <v>0</v>
      </c>
      <c r="U11" s="250"/>
      <c r="V11" s="415">
        <v>5</v>
      </c>
      <c r="W11" t="s">
        <v>572</v>
      </c>
      <c r="X11" t="s">
        <v>1008</v>
      </c>
      <c r="Y11" s="364">
        <v>-736299.98532673914</v>
      </c>
      <c r="Z11" s="364">
        <v>-81253.465135879349</v>
      </c>
      <c r="AA11" s="369">
        <v>-512503.66440453095</v>
      </c>
      <c r="AB11" s="505">
        <v>-471812.5723199998</v>
      </c>
      <c r="AC11" s="350">
        <f t="shared" si="2"/>
        <v>-1801869.6871871492</v>
      </c>
      <c r="AG11" s="159">
        <f t="shared" si="3"/>
        <v>0</v>
      </c>
      <c r="AI11" s="442" t="s">
        <v>572</v>
      </c>
      <c r="AJ11" t="s">
        <v>1008</v>
      </c>
      <c r="AK11" s="364">
        <v>0</v>
      </c>
      <c r="AL11" s="364">
        <v>-81253.465135879349</v>
      </c>
      <c r="AM11" s="369">
        <v>-512503.66440453095</v>
      </c>
      <c r="AN11" s="505">
        <v>-471812.5723199998</v>
      </c>
      <c r="AO11" s="448">
        <v>-1586083.9148671494</v>
      </c>
      <c r="AP11" s="448"/>
      <c r="AQ11" s="438"/>
      <c r="AR11" s="449">
        <f t="shared" si="4"/>
        <v>-1065569.7018604102</v>
      </c>
      <c r="AS11" s="438"/>
      <c r="AT11" s="438"/>
      <c r="AU11" s="364">
        <v>-81253.465135879349</v>
      </c>
      <c r="AV11" s="369">
        <v>-512503.66440453095</v>
      </c>
      <c r="AW11" s="505">
        <v>-471812.5723199998</v>
      </c>
      <c r="AX11" s="250">
        <f t="shared" si="5"/>
        <v>-1065569.7018604102</v>
      </c>
      <c r="AY11" s="250">
        <f t="shared" si="6"/>
        <v>0</v>
      </c>
      <c r="AZ11" s="439"/>
      <c r="BA11" s="582">
        <v>-597257.40810789913</v>
      </c>
      <c r="BB11" s="462">
        <f t="shared" si="7"/>
        <v>-1662827.1099683093</v>
      </c>
      <c r="BC11" s="463">
        <f t="shared" si="8"/>
        <v>0</v>
      </c>
      <c r="BD11" s="431"/>
      <c r="BE11" s="435">
        <f t="shared" si="9"/>
        <v>0</v>
      </c>
    </row>
    <row r="12" spans="1:57" ht="15">
      <c r="A12" s="415">
        <v>6</v>
      </c>
      <c r="B12" s="415">
        <v>7</v>
      </c>
      <c r="C12" t="s">
        <v>175</v>
      </c>
      <c r="D12" t="s">
        <v>1578</v>
      </c>
      <c r="E12" s="364">
        <v>0</v>
      </c>
      <c r="F12" s="364">
        <v>-99253.636775000094</v>
      </c>
      <c r="G12" s="369">
        <v>-85337.754240000038</v>
      </c>
      <c r="H12" s="364">
        <v>-117803.93677999999</v>
      </c>
      <c r="I12" s="350">
        <f t="shared" si="0"/>
        <v>-302395.32779500011</v>
      </c>
      <c r="K12" s="66">
        <f t="shared" si="1"/>
        <v>0</v>
      </c>
      <c r="L12" s="66"/>
      <c r="M12" s="415">
        <v>6</v>
      </c>
      <c r="N12" s="415">
        <v>7</v>
      </c>
      <c r="O12" s="66" t="s">
        <v>175</v>
      </c>
      <c r="P12" t="s">
        <v>1578</v>
      </c>
      <c r="Q12" s="364">
        <v>-117803.93677999999</v>
      </c>
      <c r="R12" t="s">
        <v>2580</v>
      </c>
      <c r="S12" s="250"/>
      <c r="T12" s="159">
        <f t="shared" si="10"/>
        <v>0</v>
      </c>
      <c r="U12" s="250"/>
      <c r="V12" s="415">
        <v>6</v>
      </c>
      <c r="W12" t="s">
        <v>175</v>
      </c>
      <c r="X12" t="s">
        <v>1578</v>
      </c>
      <c r="Y12" s="364">
        <v>0</v>
      </c>
      <c r="Z12" s="364">
        <v>0</v>
      </c>
      <c r="AA12" s="369">
        <v>-99253.636775000094</v>
      </c>
      <c r="AB12" s="505">
        <v>-85337.754240000038</v>
      </c>
      <c r="AC12" s="350">
        <f t="shared" si="2"/>
        <v>-184591.39101500012</v>
      </c>
      <c r="AG12" s="159">
        <f t="shared" si="3"/>
        <v>0</v>
      </c>
      <c r="AI12" s="442" t="s">
        <v>175</v>
      </c>
      <c r="AJ12" t="s">
        <v>1578</v>
      </c>
      <c r="AK12" s="364">
        <v>0</v>
      </c>
      <c r="AL12" s="364">
        <v>0</v>
      </c>
      <c r="AM12" s="369">
        <v>-99253.636775000094</v>
      </c>
      <c r="AN12" s="505">
        <v>-85337.754240000038</v>
      </c>
      <c r="AO12" s="448">
        <v>-100803.39755800006</v>
      </c>
      <c r="AP12" s="448"/>
      <c r="AQ12" s="438"/>
      <c r="AR12" s="449">
        <f t="shared" si="4"/>
        <v>-184591.39101500012</v>
      </c>
      <c r="AS12" s="438"/>
      <c r="AT12" s="438"/>
      <c r="AU12" s="364">
        <v>0</v>
      </c>
      <c r="AV12" s="369">
        <v>-99253.636775000094</v>
      </c>
      <c r="AW12" s="505">
        <v>-85337.754240000038</v>
      </c>
      <c r="AX12" s="250">
        <f t="shared" si="5"/>
        <v>-184591.39101500012</v>
      </c>
      <c r="AY12" s="250">
        <f t="shared" si="6"/>
        <v>0</v>
      </c>
      <c r="AZ12" s="439"/>
      <c r="BA12" s="582">
        <v>-117803.93677999999</v>
      </c>
      <c r="BB12" s="462">
        <f t="shared" si="7"/>
        <v>-302395.32779500011</v>
      </c>
      <c r="BC12" s="463">
        <f t="shared" si="8"/>
        <v>0</v>
      </c>
      <c r="BD12" s="431"/>
      <c r="BE12" s="435">
        <f t="shared" si="9"/>
        <v>0</v>
      </c>
    </row>
    <row r="13" spans="1:57" ht="15">
      <c r="A13" s="415">
        <v>7</v>
      </c>
      <c r="B13" s="415">
        <v>108</v>
      </c>
      <c r="C13" t="s">
        <v>97</v>
      </c>
      <c r="D13" t="s">
        <v>917</v>
      </c>
      <c r="E13" s="364">
        <v>3092485.86</v>
      </c>
      <c r="F13" s="364">
        <v>399997.81597703416</v>
      </c>
      <c r="G13" s="369">
        <v>-471869.88555499911</v>
      </c>
      <c r="H13" s="364">
        <v>-542000.85765471682</v>
      </c>
      <c r="I13" s="350">
        <f t="shared" si="0"/>
        <v>2478612.9327673181</v>
      </c>
      <c r="K13" s="66">
        <f t="shared" si="1"/>
        <v>0</v>
      </c>
      <c r="L13" s="66"/>
      <c r="M13" s="415">
        <v>7</v>
      </c>
      <c r="N13" s="415">
        <v>108</v>
      </c>
      <c r="O13" s="66" t="s">
        <v>97</v>
      </c>
      <c r="P13" t="s">
        <v>917</v>
      </c>
      <c r="Q13" s="364">
        <v>-542000.85765471682</v>
      </c>
      <c r="R13" t="s">
        <v>2580</v>
      </c>
      <c r="S13" s="250"/>
      <c r="T13" s="159">
        <f t="shared" si="10"/>
        <v>0</v>
      </c>
      <c r="U13" s="250"/>
      <c r="V13" s="415">
        <v>7</v>
      </c>
      <c r="W13" t="s">
        <v>97</v>
      </c>
      <c r="X13" t="s">
        <v>917</v>
      </c>
      <c r="Y13" s="364">
        <v>2454977.2906690822</v>
      </c>
      <c r="Z13" s="364">
        <v>637508.56965284795</v>
      </c>
      <c r="AA13" s="369">
        <v>399997.81597703416</v>
      </c>
      <c r="AB13" s="505">
        <v>-471869.88555499911</v>
      </c>
      <c r="AC13" s="350">
        <f t="shared" si="2"/>
        <v>3020613.7907439652</v>
      </c>
      <c r="AG13" s="159">
        <f t="shared" si="3"/>
        <v>0</v>
      </c>
      <c r="AI13" s="442" t="s">
        <v>97</v>
      </c>
      <c r="AJ13" t="s">
        <v>917</v>
      </c>
      <c r="AK13" s="364">
        <v>0</v>
      </c>
      <c r="AL13" s="364">
        <v>3092485.86</v>
      </c>
      <c r="AM13" s="369">
        <v>399997.81597703416</v>
      </c>
      <c r="AN13" s="505">
        <v>-471869.88555499911</v>
      </c>
      <c r="AO13" s="581">
        <f>SUM(AK13:AN13)</f>
        <v>3020613.7904220349</v>
      </c>
      <c r="AP13" s="448"/>
      <c r="AQ13" s="438"/>
      <c r="AR13" s="449">
        <f t="shared" si="4"/>
        <v>3020613.7904220349</v>
      </c>
      <c r="AS13" s="438"/>
      <c r="AT13" s="438"/>
      <c r="AU13" s="585">
        <f>+AK13+AL13</f>
        <v>3092485.86</v>
      </c>
      <c r="AV13" s="369">
        <v>399997.81597703416</v>
      </c>
      <c r="AW13" s="505">
        <v>-471869.88555499911</v>
      </c>
      <c r="AX13" s="250">
        <f t="shared" si="5"/>
        <v>3020613.7904220349</v>
      </c>
      <c r="AY13" s="250">
        <f t="shared" si="6"/>
        <v>0</v>
      </c>
      <c r="AZ13" s="439"/>
      <c r="BA13" s="582">
        <v>-542000.85765471682</v>
      </c>
      <c r="BB13" s="462">
        <f t="shared" si="7"/>
        <v>2478612.9327673181</v>
      </c>
      <c r="BC13" s="463">
        <f t="shared" si="8"/>
        <v>0</v>
      </c>
      <c r="BD13" s="431"/>
      <c r="BE13" s="435">
        <f t="shared" si="9"/>
        <v>0</v>
      </c>
    </row>
    <row r="14" spans="1:57" ht="15">
      <c r="A14" s="415">
        <v>8</v>
      </c>
      <c r="B14" s="415">
        <v>127</v>
      </c>
      <c r="C14" t="s">
        <v>376</v>
      </c>
      <c r="D14" t="s">
        <v>1614</v>
      </c>
      <c r="E14" s="364">
        <v>0</v>
      </c>
      <c r="F14" s="364">
        <v>-354900.01656785631</v>
      </c>
      <c r="G14" s="369">
        <v>-768905.28153600032</v>
      </c>
      <c r="H14" s="364">
        <v>-924064.34603780741</v>
      </c>
      <c r="I14" s="350">
        <f t="shared" si="0"/>
        <v>-2047869.644141664</v>
      </c>
      <c r="K14" s="66">
        <f t="shared" si="1"/>
        <v>0</v>
      </c>
      <c r="L14" s="66"/>
      <c r="M14" s="415">
        <v>8</v>
      </c>
      <c r="N14" s="415">
        <v>127</v>
      </c>
      <c r="O14" s="66" t="s">
        <v>376</v>
      </c>
      <c r="P14" t="s">
        <v>1614</v>
      </c>
      <c r="Q14" s="364">
        <v>-924064.34603780741</v>
      </c>
      <c r="R14" t="s">
        <v>2580</v>
      </c>
      <c r="S14" s="250"/>
      <c r="T14" s="159">
        <f t="shared" si="10"/>
        <v>0</v>
      </c>
      <c r="U14" s="250"/>
      <c r="V14" s="415">
        <v>8</v>
      </c>
      <c r="W14" t="s">
        <v>376</v>
      </c>
      <c r="X14" t="s">
        <v>1614</v>
      </c>
      <c r="Y14" s="364">
        <v>-193907.50370900019</v>
      </c>
      <c r="Z14" s="364">
        <v>0</v>
      </c>
      <c r="AA14" s="369">
        <v>-354900.01656785631</v>
      </c>
      <c r="AB14" s="505">
        <v>-768905.28153600032</v>
      </c>
      <c r="AC14" s="350">
        <f t="shared" si="2"/>
        <v>-1317712.8018128569</v>
      </c>
      <c r="AG14" s="159">
        <f t="shared" si="3"/>
        <v>0</v>
      </c>
      <c r="AI14" s="442" t="s">
        <v>376</v>
      </c>
      <c r="AJ14" t="s">
        <v>1614</v>
      </c>
      <c r="AK14" s="364">
        <v>0</v>
      </c>
      <c r="AL14" s="364">
        <v>0</v>
      </c>
      <c r="AM14" s="369">
        <v>-354900.01656785631</v>
      </c>
      <c r="AN14" s="505">
        <v>-768905.28153600032</v>
      </c>
      <c r="AO14" s="448">
        <v>-793721.13027685648</v>
      </c>
      <c r="AP14" s="448"/>
      <c r="AQ14" s="438"/>
      <c r="AR14" s="449">
        <f t="shared" si="4"/>
        <v>-1123805.2981038566</v>
      </c>
      <c r="AS14" s="438"/>
      <c r="AT14" s="438"/>
      <c r="AU14" s="588">
        <v>0</v>
      </c>
      <c r="AV14" s="369">
        <v>-354900.01656785631</v>
      </c>
      <c r="AW14" s="505">
        <v>-768905.28153600032</v>
      </c>
      <c r="AX14" s="250">
        <f t="shared" si="5"/>
        <v>-1123805.2981038566</v>
      </c>
      <c r="AY14" s="250">
        <f t="shared" ref="AY14:AY27" si="11">+AX14-AR14</f>
        <v>0</v>
      </c>
      <c r="AZ14" s="439"/>
      <c r="BA14" s="582">
        <v>-924064.34603780741</v>
      </c>
      <c r="BB14" s="462">
        <f t="shared" si="7"/>
        <v>-2047869.644141664</v>
      </c>
      <c r="BC14" s="463">
        <f t="shared" si="8"/>
        <v>0</v>
      </c>
      <c r="BD14" s="431"/>
      <c r="BE14" s="435">
        <f t="shared" si="9"/>
        <v>0</v>
      </c>
    </row>
    <row r="15" spans="1:57" ht="15">
      <c r="A15" s="415">
        <v>9</v>
      </c>
      <c r="B15" s="415">
        <v>36</v>
      </c>
      <c r="C15" s="525" t="s">
        <v>225</v>
      </c>
      <c r="D15" s="525" t="s">
        <v>854</v>
      </c>
      <c r="E15" s="364">
        <v>0</v>
      </c>
      <c r="F15" s="364">
        <v>3864.38</v>
      </c>
      <c r="G15" s="369">
        <v>-523978.49955200031</v>
      </c>
      <c r="H15" s="364">
        <v>-37137.697210000828</v>
      </c>
      <c r="I15" s="350">
        <f t="shared" si="0"/>
        <v>-557251.81676200114</v>
      </c>
      <c r="K15" s="66">
        <f t="shared" si="1"/>
        <v>0</v>
      </c>
      <c r="L15" s="66"/>
      <c r="M15" s="415">
        <v>9</v>
      </c>
      <c r="N15" s="415">
        <v>36</v>
      </c>
      <c r="O15" s="66" t="s">
        <v>225</v>
      </c>
      <c r="P15" s="525" t="s">
        <v>854</v>
      </c>
      <c r="Q15" s="364">
        <v>-37137.697210000828</v>
      </c>
      <c r="R15" t="s">
        <v>2580</v>
      </c>
      <c r="S15" s="250"/>
      <c r="T15" s="159">
        <f t="shared" si="10"/>
        <v>0</v>
      </c>
      <c r="U15" s="250"/>
      <c r="V15" s="415">
        <v>9</v>
      </c>
      <c r="W15" t="s">
        <v>225</v>
      </c>
      <c r="X15" s="525" t="s">
        <v>854</v>
      </c>
      <c r="Y15" s="364">
        <v>-44740.500618999446</v>
      </c>
      <c r="Z15" s="364">
        <v>0</v>
      </c>
      <c r="AA15" s="369">
        <v>48604.876800000027</v>
      </c>
      <c r="AB15" s="505">
        <v>-523978.49955200031</v>
      </c>
      <c r="AC15" s="350">
        <f t="shared" si="2"/>
        <v>-520114.1233709997</v>
      </c>
      <c r="AG15" s="159">
        <f t="shared" si="3"/>
        <v>0</v>
      </c>
      <c r="AI15" s="442" t="s">
        <v>225</v>
      </c>
      <c r="AJ15" s="525" t="s">
        <v>854</v>
      </c>
      <c r="AK15" s="364">
        <v>0</v>
      </c>
      <c r="AL15" s="364">
        <v>0</v>
      </c>
      <c r="AM15" s="369">
        <v>3864.38</v>
      </c>
      <c r="AN15" s="505">
        <v>-523978.49955200031</v>
      </c>
      <c r="AO15" s="448">
        <v>-205131.39381899941</v>
      </c>
      <c r="AP15" s="448">
        <f>+AM15+AK15</f>
        <v>3864.38</v>
      </c>
      <c r="AQ15" s="438"/>
      <c r="AR15" s="449">
        <f t="shared" si="4"/>
        <v>-520114.11955200031</v>
      </c>
      <c r="AS15" s="438"/>
      <c r="AT15" s="438"/>
      <c r="AU15" s="588">
        <v>0</v>
      </c>
      <c r="AV15" s="369">
        <v>3864.38</v>
      </c>
      <c r="AW15" s="505">
        <v>-523978.49955200031</v>
      </c>
      <c r="AX15" s="250">
        <f t="shared" si="5"/>
        <v>-520114.11955200031</v>
      </c>
      <c r="AY15" s="250">
        <f t="shared" si="11"/>
        <v>0</v>
      </c>
      <c r="AZ15" s="439"/>
      <c r="BA15" s="582">
        <v>-37137.697210000828</v>
      </c>
      <c r="BB15" s="462">
        <f t="shared" si="7"/>
        <v>-557251.81676200114</v>
      </c>
      <c r="BC15" s="463">
        <f t="shared" si="8"/>
        <v>0</v>
      </c>
      <c r="BD15" s="431"/>
      <c r="BE15" s="435">
        <f t="shared" si="9"/>
        <v>0</v>
      </c>
    </row>
    <row r="16" spans="1:57" ht="15">
      <c r="A16" s="415">
        <v>10</v>
      </c>
      <c r="B16" s="415">
        <v>105</v>
      </c>
      <c r="C16" t="s">
        <v>354</v>
      </c>
      <c r="D16" t="s">
        <v>914</v>
      </c>
      <c r="E16" s="364">
        <v>0</v>
      </c>
      <c r="F16" s="369">
        <v>0</v>
      </c>
      <c r="G16" s="370">
        <v>0</v>
      </c>
      <c r="H16" s="364">
        <v>457368.14689899981</v>
      </c>
      <c r="I16" s="350">
        <f t="shared" si="0"/>
        <v>457368.14689899981</v>
      </c>
      <c r="K16" s="66">
        <f t="shared" si="1"/>
        <v>0</v>
      </c>
      <c r="L16" s="66"/>
      <c r="M16" s="415">
        <v>10</v>
      </c>
      <c r="N16" s="415">
        <v>105</v>
      </c>
      <c r="O16" s="66" t="s">
        <v>354</v>
      </c>
      <c r="P16" t="s">
        <v>914</v>
      </c>
      <c r="Q16" s="364">
        <v>457368.14689899981</v>
      </c>
      <c r="R16" t="s">
        <v>2580</v>
      </c>
      <c r="S16" s="250"/>
      <c r="T16" s="159">
        <f t="shared" si="10"/>
        <v>0</v>
      </c>
      <c r="U16" s="250"/>
      <c r="V16" s="415">
        <v>10</v>
      </c>
      <c r="W16" t="s">
        <v>354</v>
      </c>
      <c r="X16" t="s">
        <v>914</v>
      </c>
      <c r="Y16" s="364">
        <v>-998247.79710200033</v>
      </c>
      <c r="Z16" s="369">
        <v>0</v>
      </c>
      <c r="AA16" s="370">
        <v>333162.48</v>
      </c>
      <c r="AB16" s="505">
        <v>128067.82044799812</v>
      </c>
      <c r="AC16" s="350">
        <f t="shared" si="2"/>
        <v>-537017.49665400223</v>
      </c>
      <c r="AG16" s="159">
        <f t="shared" si="3"/>
        <v>0</v>
      </c>
      <c r="AI16" s="442" t="s">
        <v>354</v>
      </c>
      <c r="AJ16" t="s">
        <v>914</v>
      </c>
      <c r="AK16" s="364">
        <v>0</v>
      </c>
      <c r="AL16" s="369">
        <v>0</v>
      </c>
      <c r="AM16" s="370">
        <v>0</v>
      </c>
      <c r="AN16" s="505">
        <v>0</v>
      </c>
      <c r="AO16" s="581">
        <f>SUM(AK16:AN16)</f>
        <v>0</v>
      </c>
      <c r="AP16" s="450">
        <f>+AK16+AM16+AN16</f>
        <v>0</v>
      </c>
      <c r="AQ16" s="438"/>
      <c r="AR16" s="449">
        <f t="shared" si="4"/>
        <v>0</v>
      </c>
      <c r="AS16" s="438"/>
      <c r="AT16" s="438"/>
      <c r="AU16" s="584">
        <v>0</v>
      </c>
      <c r="AV16" s="370">
        <v>0</v>
      </c>
      <c r="AW16" s="505">
        <v>0</v>
      </c>
      <c r="AX16" s="250">
        <f t="shared" si="5"/>
        <v>0</v>
      </c>
      <c r="AY16" s="250">
        <f t="shared" si="11"/>
        <v>0</v>
      </c>
      <c r="AZ16" s="439"/>
      <c r="BA16" s="582">
        <v>457368.14689899981</v>
      </c>
      <c r="BB16" s="462">
        <f t="shared" si="7"/>
        <v>457368.14689899981</v>
      </c>
      <c r="BC16" s="463">
        <f t="shared" si="8"/>
        <v>0</v>
      </c>
      <c r="BD16" s="431"/>
      <c r="BE16" s="435">
        <f t="shared" si="9"/>
        <v>0</v>
      </c>
    </row>
    <row r="17" spans="1:57" ht="15">
      <c r="A17" s="415">
        <v>11</v>
      </c>
      <c r="B17" s="415">
        <v>292</v>
      </c>
      <c r="C17" t="s">
        <v>671</v>
      </c>
      <c r="D17" t="s">
        <v>1052</v>
      </c>
      <c r="E17" s="364">
        <v>0</v>
      </c>
      <c r="F17" s="364">
        <v>-426288.14</v>
      </c>
      <c r="G17" s="369">
        <v>-1484303.7053500013</v>
      </c>
      <c r="H17" s="364">
        <v>-2147644.6903576367</v>
      </c>
      <c r="I17" s="350">
        <f t="shared" si="0"/>
        <v>-4058236.5357076381</v>
      </c>
      <c r="K17" s="66">
        <f t="shared" si="1"/>
        <v>0</v>
      </c>
      <c r="L17" s="66"/>
      <c r="M17" s="415">
        <v>11</v>
      </c>
      <c r="N17" s="415">
        <v>292</v>
      </c>
      <c r="O17" s="66" t="s">
        <v>671</v>
      </c>
      <c r="P17" t="s">
        <v>1052</v>
      </c>
      <c r="Q17" s="364">
        <v>-2147644.6903576367</v>
      </c>
      <c r="R17" t="s">
        <v>2580</v>
      </c>
      <c r="S17" s="250"/>
      <c r="T17" s="159">
        <f t="shared" si="10"/>
        <v>0</v>
      </c>
      <c r="U17" s="250"/>
      <c r="V17" s="415">
        <v>11</v>
      </c>
      <c r="W17" t="s">
        <v>671</v>
      </c>
      <c r="X17" t="s">
        <v>1052</v>
      </c>
      <c r="Y17" s="364">
        <v>830071.1410371525</v>
      </c>
      <c r="Z17" s="364">
        <v>-143425.52645809762</v>
      </c>
      <c r="AA17" s="369">
        <v>-1112933.7532594283</v>
      </c>
      <c r="AB17" s="505">
        <v>-1484303.7053500013</v>
      </c>
      <c r="AC17" s="350">
        <f t="shared" si="2"/>
        <v>-1910591.8440303747</v>
      </c>
      <c r="AG17" s="159">
        <f t="shared" si="3"/>
        <v>0</v>
      </c>
      <c r="AI17" s="442" t="s">
        <v>671</v>
      </c>
      <c r="AJ17" t="s">
        <v>1052</v>
      </c>
      <c r="AK17" s="364">
        <v>0</v>
      </c>
      <c r="AL17" s="369">
        <v>0</v>
      </c>
      <c r="AM17" s="369">
        <v>-426288.14</v>
      </c>
      <c r="AN17" s="505">
        <v>-1484303.7053500013</v>
      </c>
      <c r="AO17" s="581">
        <f>SUM(AK17:AN17)</f>
        <v>-1910591.8453500015</v>
      </c>
      <c r="AP17" s="448">
        <f>+AK17+AL17+AM17</f>
        <v>-426288.14</v>
      </c>
      <c r="AQ17" s="438"/>
      <c r="AR17" s="449">
        <f t="shared" si="4"/>
        <v>-1910591.8453500015</v>
      </c>
      <c r="AS17" s="438"/>
      <c r="AT17" s="438"/>
      <c r="AU17" s="584">
        <v>0</v>
      </c>
      <c r="AV17" s="369">
        <v>-426288.14</v>
      </c>
      <c r="AW17" s="505">
        <v>-1484303.7053500013</v>
      </c>
      <c r="AX17" s="250">
        <f t="shared" si="5"/>
        <v>-1910591.8453500015</v>
      </c>
      <c r="AY17" s="250">
        <f t="shared" si="11"/>
        <v>0</v>
      </c>
      <c r="AZ17" s="439"/>
      <c r="BA17" s="582">
        <v>-2147644.6903576367</v>
      </c>
      <c r="BB17" s="462">
        <f t="shared" si="7"/>
        <v>-4058236.5357076381</v>
      </c>
      <c r="BC17" s="463">
        <f t="shared" si="8"/>
        <v>0</v>
      </c>
      <c r="BD17" s="431"/>
      <c r="BE17" s="435">
        <f t="shared" si="9"/>
        <v>0</v>
      </c>
    </row>
    <row r="18" spans="1:57" ht="15">
      <c r="A18" s="415">
        <v>12</v>
      </c>
      <c r="B18" s="415">
        <v>2</v>
      </c>
      <c r="C18" s="339" t="s">
        <v>165</v>
      </c>
      <c r="D18" s="340" t="s">
        <v>166</v>
      </c>
      <c r="E18" s="372"/>
      <c r="F18" s="363"/>
      <c r="G18" s="369">
        <v>-21281.661936</v>
      </c>
      <c r="H18" s="364">
        <v>-27836.600000000002</v>
      </c>
      <c r="I18" s="350">
        <f t="shared" si="0"/>
        <v>-49118.261936000003</v>
      </c>
      <c r="K18" s="66">
        <f t="shared" si="1"/>
        <v>0</v>
      </c>
      <c r="L18" s="66"/>
      <c r="M18" s="415">
        <v>12</v>
      </c>
      <c r="N18" s="415">
        <v>2</v>
      </c>
      <c r="O18" s="66" t="s">
        <v>165</v>
      </c>
      <c r="P18" s="340" t="s">
        <v>166</v>
      </c>
      <c r="Q18" s="364">
        <v>-27836.600000000002</v>
      </c>
      <c r="R18" t="s">
        <v>2580</v>
      </c>
      <c r="S18" s="250"/>
      <c r="T18" s="159">
        <f t="shared" si="10"/>
        <v>0</v>
      </c>
      <c r="U18" s="250"/>
      <c r="V18" s="415">
        <v>12</v>
      </c>
      <c r="W18" s="339" t="s">
        <v>165</v>
      </c>
      <c r="X18" s="340" t="s">
        <v>166</v>
      </c>
      <c r="Y18" s="372">
        <v>0</v>
      </c>
      <c r="Z18" s="363"/>
      <c r="AA18" s="369"/>
      <c r="AB18" s="505">
        <v>-21281.661936</v>
      </c>
      <c r="AC18" s="350">
        <f t="shared" si="2"/>
        <v>-21281.661936</v>
      </c>
      <c r="AG18" s="159">
        <f t="shared" si="3"/>
        <v>0</v>
      </c>
      <c r="AI18" s="442" t="s">
        <v>165</v>
      </c>
      <c r="AJ18" s="340" t="s">
        <v>166</v>
      </c>
      <c r="AK18" s="372">
        <v>0</v>
      </c>
      <c r="AL18" s="363"/>
      <c r="AM18" s="369"/>
      <c r="AN18" s="505">
        <v>-21281.661936</v>
      </c>
      <c r="AO18" s="448">
        <v>0</v>
      </c>
      <c r="AP18" s="448"/>
      <c r="AQ18" s="438"/>
      <c r="AR18" s="449">
        <f t="shared" si="4"/>
        <v>-21281.661936</v>
      </c>
      <c r="AS18" s="438"/>
      <c r="AT18" s="438"/>
      <c r="AU18" s="589"/>
      <c r="AV18" s="369"/>
      <c r="AW18" s="505">
        <v>-21281.661936</v>
      </c>
      <c r="AX18" s="250">
        <f t="shared" si="5"/>
        <v>-21281.661936</v>
      </c>
      <c r="AY18" s="250">
        <f t="shared" si="11"/>
        <v>0</v>
      </c>
      <c r="AZ18" s="439"/>
      <c r="BA18" s="582">
        <v>-27836.600000000002</v>
      </c>
      <c r="BB18" s="462">
        <f t="shared" si="7"/>
        <v>-49118.261936000003</v>
      </c>
      <c r="BC18" s="463">
        <f t="shared" si="8"/>
        <v>0</v>
      </c>
      <c r="BD18" s="431"/>
      <c r="BE18" s="435">
        <f t="shared" si="9"/>
        <v>0</v>
      </c>
    </row>
    <row r="19" spans="1:57" ht="15">
      <c r="A19" s="415">
        <v>13</v>
      </c>
      <c r="B19" s="415">
        <v>207</v>
      </c>
      <c r="C19" t="s">
        <v>527</v>
      </c>
      <c r="D19" t="s">
        <v>993</v>
      </c>
      <c r="E19" s="373">
        <v>1458815.1</v>
      </c>
      <c r="F19" s="364">
        <v>621145.9529533399</v>
      </c>
      <c r="G19" s="369">
        <v>588912.66550900228</v>
      </c>
      <c r="H19" s="364">
        <v>-825959.71279088967</v>
      </c>
      <c r="I19" s="350">
        <f t="shared" si="0"/>
        <v>1842914.0056714527</v>
      </c>
      <c r="K19" s="66">
        <f t="shared" si="1"/>
        <v>0</v>
      </c>
      <c r="L19" s="66"/>
      <c r="M19" s="415">
        <v>13</v>
      </c>
      <c r="N19" s="415">
        <v>207</v>
      </c>
      <c r="O19" s="66" t="s">
        <v>527</v>
      </c>
      <c r="P19" t="s">
        <v>993</v>
      </c>
      <c r="Q19" s="364">
        <v>-825959.71279088967</v>
      </c>
      <c r="R19" t="s">
        <v>2580</v>
      </c>
      <c r="S19" s="250"/>
      <c r="T19" s="159">
        <f t="shared" si="10"/>
        <v>0</v>
      </c>
      <c r="U19" s="250"/>
      <c r="V19" s="415">
        <v>13</v>
      </c>
      <c r="W19" t="s">
        <v>527</v>
      </c>
      <c r="X19" t="s">
        <v>993</v>
      </c>
      <c r="Y19" s="373">
        <v>82001.862648997689</v>
      </c>
      <c r="Z19" s="364">
        <v>1376813.2352220006</v>
      </c>
      <c r="AA19" s="369">
        <v>621145.9529533399</v>
      </c>
      <c r="AB19" s="505">
        <v>588912.66550900228</v>
      </c>
      <c r="AC19" s="350">
        <f t="shared" si="2"/>
        <v>2668873.7163333404</v>
      </c>
      <c r="AG19" s="159">
        <f t="shared" si="3"/>
        <v>0</v>
      </c>
      <c r="AI19" s="442" t="s">
        <v>527</v>
      </c>
      <c r="AJ19" t="s">
        <v>993</v>
      </c>
      <c r="AK19" s="373">
        <v>0</v>
      </c>
      <c r="AL19" s="364">
        <v>1458815.1</v>
      </c>
      <c r="AM19" s="369">
        <v>621145.9529533399</v>
      </c>
      <c r="AN19" s="505">
        <v>588912.66550900228</v>
      </c>
      <c r="AO19" s="448">
        <v>706388.02082433819</v>
      </c>
      <c r="AP19" s="448">
        <f>+AK19+AL19</f>
        <v>1458815.1</v>
      </c>
      <c r="AQ19" s="438"/>
      <c r="AR19" s="449">
        <f t="shared" si="4"/>
        <v>2668873.7184623424</v>
      </c>
      <c r="AS19" s="438"/>
      <c r="AT19" s="438"/>
      <c r="AU19" s="588">
        <v>1458815.1</v>
      </c>
      <c r="AV19" s="369">
        <v>621145.9529533399</v>
      </c>
      <c r="AW19" s="505">
        <v>588912.66550900228</v>
      </c>
      <c r="AX19" s="250">
        <f t="shared" si="5"/>
        <v>2668873.7184623424</v>
      </c>
      <c r="AY19" s="250">
        <f t="shared" si="11"/>
        <v>0</v>
      </c>
      <c r="AZ19" s="439"/>
      <c r="BA19" s="582">
        <v>-825959.71279088967</v>
      </c>
      <c r="BB19" s="462">
        <f t="shared" si="7"/>
        <v>1842914.0056714527</v>
      </c>
      <c r="BC19" s="463">
        <f t="shared" si="8"/>
        <v>0</v>
      </c>
      <c r="BD19" s="431"/>
      <c r="BE19" s="435">
        <f t="shared" si="9"/>
        <v>0</v>
      </c>
    </row>
    <row r="20" spans="1:57" ht="15">
      <c r="A20" s="415">
        <v>14</v>
      </c>
      <c r="B20" s="415">
        <v>141</v>
      </c>
      <c r="C20" s="339" t="s">
        <v>398</v>
      </c>
      <c r="D20" s="340" t="s">
        <v>399</v>
      </c>
      <c r="E20" s="372"/>
      <c r="F20" s="363"/>
      <c r="G20" s="369">
        <v>0</v>
      </c>
      <c r="H20" s="364"/>
      <c r="I20" s="350">
        <f t="shared" si="0"/>
        <v>0</v>
      </c>
      <c r="K20" s="66">
        <f t="shared" si="1"/>
        <v>0</v>
      </c>
      <c r="L20" s="66"/>
      <c r="M20" s="415">
        <v>14</v>
      </c>
      <c r="N20" s="415">
        <v>141</v>
      </c>
      <c r="O20" s="339" t="s">
        <v>398</v>
      </c>
      <c r="P20" s="340" t="s">
        <v>399</v>
      </c>
      <c r="Q20" s="364"/>
      <c r="R20" t="s">
        <v>2580</v>
      </c>
      <c r="S20" s="250"/>
      <c r="T20" s="159">
        <f t="shared" si="10"/>
        <v>0</v>
      </c>
      <c r="U20" s="250"/>
      <c r="V20" s="415">
        <v>14</v>
      </c>
      <c r="W20" s="339" t="s">
        <v>398</v>
      </c>
      <c r="X20" s="340" t="s">
        <v>399</v>
      </c>
      <c r="Y20" s="372">
        <v>0</v>
      </c>
      <c r="Z20" s="363"/>
      <c r="AA20" s="369"/>
      <c r="AB20" s="505">
        <v>0</v>
      </c>
      <c r="AC20" s="350">
        <f t="shared" si="2"/>
        <v>0</v>
      </c>
      <c r="AG20" s="159">
        <f t="shared" si="3"/>
        <v>0</v>
      </c>
      <c r="AI20" s="442" t="s">
        <v>398</v>
      </c>
      <c r="AJ20" s="340" t="s">
        <v>399</v>
      </c>
      <c r="AK20" s="372">
        <v>0</v>
      </c>
      <c r="AL20" s="363"/>
      <c r="AM20" s="369"/>
      <c r="AN20" s="505">
        <v>0</v>
      </c>
      <c r="AO20" s="448">
        <v>0</v>
      </c>
      <c r="AP20" s="448"/>
      <c r="AQ20" s="438"/>
      <c r="AR20" s="449">
        <f t="shared" si="4"/>
        <v>0</v>
      </c>
      <c r="AS20" s="438"/>
      <c r="AT20" s="438"/>
      <c r="AU20" s="589"/>
      <c r="AV20" s="369"/>
      <c r="AW20" s="505">
        <v>0</v>
      </c>
      <c r="AX20" s="250">
        <f t="shared" si="5"/>
        <v>0</v>
      </c>
      <c r="AY20" s="250">
        <f t="shared" si="11"/>
        <v>0</v>
      </c>
      <c r="AZ20" s="439"/>
      <c r="BA20" s="582"/>
      <c r="BB20" s="462">
        <f t="shared" si="7"/>
        <v>0</v>
      </c>
      <c r="BC20" s="463">
        <f t="shared" si="8"/>
        <v>0</v>
      </c>
      <c r="BD20" s="431"/>
      <c r="BE20" s="435">
        <f t="shared" si="9"/>
        <v>0</v>
      </c>
    </row>
    <row r="21" spans="1:57" ht="15">
      <c r="A21" s="415">
        <v>15</v>
      </c>
      <c r="B21" s="415">
        <v>294</v>
      </c>
      <c r="C21" t="s">
        <v>675</v>
      </c>
      <c r="D21" t="s">
        <v>1054</v>
      </c>
      <c r="E21" s="364">
        <v>-3243.4571209957357</v>
      </c>
      <c r="F21" s="364">
        <v>-481840.2227842799</v>
      </c>
      <c r="G21" s="369">
        <v>-374690.67360399978</v>
      </c>
      <c r="H21" s="364">
        <v>-491569.7617759998</v>
      </c>
      <c r="I21" s="350">
        <f t="shared" si="0"/>
        <v>-1351344.1152852753</v>
      </c>
      <c r="K21" s="66">
        <f t="shared" si="1"/>
        <v>0</v>
      </c>
      <c r="L21" s="66"/>
      <c r="M21" s="415">
        <v>15</v>
      </c>
      <c r="N21" s="415">
        <v>294</v>
      </c>
      <c r="O21" s="66" t="s">
        <v>675</v>
      </c>
      <c r="P21" t="s">
        <v>1054</v>
      </c>
      <c r="Q21" s="364">
        <v>-491569.7617759998</v>
      </c>
      <c r="R21" t="s">
        <v>2580</v>
      </c>
      <c r="S21" s="250"/>
      <c r="T21" s="159">
        <f t="shared" si="10"/>
        <v>0</v>
      </c>
      <c r="U21" s="250"/>
      <c r="V21" s="415">
        <v>15</v>
      </c>
      <c r="W21" t="s">
        <v>675</v>
      </c>
      <c r="X21" t="s">
        <v>1054</v>
      </c>
      <c r="Y21" s="364">
        <v>-47193.066253736579</v>
      </c>
      <c r="Z21" s="364">
        <v>-3243.4571209957357</v>
      </c>
      <c r="AA21" s="369">
        <v>-481840.2227842799</v>
      </c>
      <c r="AB21" s="505">
        <v>-374690.67360399978</v>
      </c>
      <c r="AC21" s="350">
        <f t="shared" si="2"/>
        <v>-906967.41976301197</v>
      </c>
      <c r="AG21" s="159">
        <f t="shared" si="3"/>
        <v>0</v>
      </c>
      <c r="AI21" s="442" t="s">
        <v>675</v>
      </c>
      <c r="AJ21" t="s">
        <v>1054</v>
      </c>
      <c r="AK21" s="372">
        <v>0</v>
      </c>
      <c r="AL21" s="364">
        <v>-3243.4571209957357</v>
      </c>
      <c r="AM21" s="369">
        <v>-481840.2227842799</v>
      </c>
      <c r="AN21" s="505">
        <v>-374690.67360399978</v>
      </c>
      <c r="AO21" s="448">
        <v>-832173.13615901221</v>
      </c>
      <c r="AP21" s="448"/>
      <c r="AQ21" s="438"/>
      <c r="AR21" s="449">
        <f t="shared" si="4"/>
        <v>-859774.35350927548</v>
      </c>
      <c r="AS21" s="438"/>
      <c r="AT21" s="438"/>
      <c r="AU21" s="588">
        <v>-3243.4571209957357</v>
      </c>
      <c r="AV21" s="369">
        <v>-481840.2227842799</v>
      </c>
      <c r="AW21" s="505">
        <v>-374690.67360399978</v>
      </c>
      <c r="AX21" s="250">
        <f t="shared" si="5"/>
        <v>-859774.35350927548</v>
      </c>
      <c r="AY21" s="250">
        <f t="shared" si="11"/>
        <v>0</v>
      </c>
      <c r="AZ21" s="439"/>
      <c r="BA21" s="582">
        <v>-491569.7617759998</v>
      </c>
      <c r="BB21" s="462">
        <f t="shared" si="7"/>
        <v>-1351344.1152852753</v>
      </c>
      <c r="BC21" s="463">
        <f t="shared" si="8"/>
        <v>0</v>
      </c>
      <c r="BD21" s="431"/>
      <c r="BE21" s="435">
        <f t="shared" si="9"/>
        <v>0</v>
      </c>
    </row>
    <row r="22" spans="1:57" ht="15">
      <c r="A22" s="415">
        <v>16</v>
      </c>
      <c r="B22" s="415">
        <v>156</v>
      </c>
      <c r="C22" t="s">
        <v>428</v>
      </c>
      <c r="D22" t="s">
        <v>944</v>
      </c>
      <c r="E22" s="364">
        <v>-22595.906256000002</v>
      </c>
      <c r="F22" s="364">
        <v>-42427.794690000024</v>
      </c>
      <c r="G22" s="369">
        <v>-32579.945999999967</v>
      </c>
      <c r="H22" s="364">
        <v>-29523.842084999982</v>
      </c>
      <c r="I22" s="350">
        <f t="shared" si="0"/>
        <v>-127127.48903099998</v>
      </c>
      <c r="K22" s="66">
        <f t="shared" si="1"/>
        <v>0</v>
      </c>
      <c r="L22" s="66"/>
      <c r="M22" s="415">
        <v>16</v>
      </c>
      <c r="N22" s="415">
        <v>156</v>
      </c>
      <c r="O22" s="66" t="s">
        <v>428</v>
      </c>
      <c r="P22" t="s">
        <v>944</v>
      </c>
      <c r="Q22" s="364">
        <v>-29523.842084999982</v>
      </c>
      <c r="R22" t="s">
        <v>2580</v>
      </c>
      <c r="S22" s="250"/>
      <c r="T22" s="159">
        <f t="shared" si="10"/>
        <v>0</v>
      </c>
      <c r="U22" s="250"/>
      <c r="V22" s="415">
        <v>16</v>
      </c>
      <c r="W22" t="s">
        <v>428</v>
      </c>
      <c r="X22" t="s">
        <v>944</v>
      </c>
      <c r="Y22" s="364">
        <v>-27608.338987999985</v>
      </c>
      <c r="Z22" s="364">
        <v>-22595.906256000002</v>
      </c>
      <c r="AA22" s="369">
        <v>-42427.794690000024</v>
      </c>
      <c r="AB22" s="505">
        <v>-32579.945999999967</v>
      </c>
      <c r="AC22" s="350">
        <f t="shared" si="2"/>
        <v>-125211.98593399998</v>
      </c>
      <c r="AG22" s="159">
        <f t="shared" si="3"/>
        <v>0</v>
      </c>
      <c r="AI22" s="442" t="s">
        <v>428</v>
      </c>
      <c r="AJ22" t="s">
        <v>944</v>
      </c>
      <c r="AK22" s="372">
        <v>0</v>
      </c>
      <c r="AL22" s="364">
        <v>-22595.906256000002</v>
      </c>
      <c r="AM22" s="369">
        <v>-42427.794690000024</v>
      </c>
      <c r="AN22" s="505">
        <v>-32579.945999999967</v>
      </c>
      <c r="AO22" s="448">
        <v>-145530.56993400003</v>
      </c>
      <c r="AP22" s="448"/>
      <c r="AQ22" s="438"/>
      <c r="AR22" s="449">
        <f t="shared" si="4"/>
        <v>-97603.646945999993</v>
      </c>
      <c r="AS22" s="438"/>
      <c r="AT22" s="438"/>
      <c r="AU22" s="588">
        <v>-22595.906256000002</v>
      </c>
      <c r="AV22" s="369">
        <v>-42427.794690000024</v>
      </c>
      <c r="AW22" s="505">
        <v>-32579.945999999967</v>
      </c>
      <c r="AX22" s="250">
        <f t="shared" si="5"/>
        <v>-97603.646945999993</v>
      </c>
      <c r="AY22" s="250">
        <f t="shared" si="11"/>
        <v>0</v>
      </c>
      <c r="AZ22" s="439"/>
      <c r="BA22" s="582">
        <v>-29523.842084999982</v>
      </c>
      <c r="BB22" s="462">
        <f t="shared" si="7"/>
        <v>-127127.48903099998</v>
      </c>
      <c r="BC22" s="463">
        <f t="shared" si="8"/>
        <v>0</v>
      </c>
      <c r="BD22" s="431"/>
      <c r="BE22" s="435">
        <f t="shared" si="9"/>
        <v>0</v>
      </c>
    </row>
    <row r="23" spans="1:57" ht="15">
      <c r="A23" s="415">
        <v>17</v>
      </c>
      <c r="B23" s="415">
        <v>126</v>
      </c>
      <c r="C23" t="s">
        <v>374</v>
      </c>
      <c r="D23" t="s">
        <v>925</v>
      </c>
      <c r="E23" s="364">
        <v>591524.05000000005</v>
      </c>
      <c r="F23" s="364">
        <v>471291.78035767551</v>
      </c>
      <c r="G23" s="369">
        <v>212970.84738200018</v>
      </c>
      <c r="H23" s="364">
        <v>179661.1957130474</v>
      </c>
      <c r="I23" s="350">
        <f t="shared" si="0"/>
        <v>1455447.873452723</v>
      </c>
      <c r="K23" s="66">
        <f t="shared" si="1"/>
        <v>0</v>
      </c>
      <c r="L23" s="66"/>
      <c r="M23" s="415">
        <v>17</v>
      </c>
      <c r="N23" s="415">
        <v>126</v>
      </c>
      <c r="O23" s="66" t="s">
        <v>374</v>
      </c>
      <c r="P23" t="s">
        <v>925</v>
      </c>
      <c r="Q23" s="364">
        <v>179661.1957130474</v>
      </c>
      <c r="R23" t="s">
        <v>2580</v>
      </c>
      <c r="S23" s="250"/>
      <c r="T23" s="159">
        <f t="shared" si="10"/>
        <v>0</v>
      </c>
      <c r="U23" s="250"/>
      <c r="V23" s="415">
        <v>17</v>
      </c>
      <c r="W23" t="s">
        <v>374</v>
      </c>
      <c r="X23" t="s">
        <v>925</v>
      </c>
      <c r="Y23" s="364">
        <v>154546.16695376899</v>
      </c>
      <c r="Z23" s="364">
        <v>436977.8823302323</v>
      </c>
      <c r="AA23" s="369">
        <v>471291.78035767551</v>
      </c>
      <c r="AB23" s="505">
        <v>212970.84738200018</v>
      </c>
      <c r="AC23" s="350">
        <f t="shared" si="2"/>
        <v>1275786.6770236772</v>
      </c>
      <c r="AG23" s="159">
        <f t="shared" si="3"/>
        <v>0</v>
      </c>
      <c r="AI23" s="442" t="s">
        <v>374</v>
      </c>
      <c r="AJ23" t="s">
        <v>925</v>
      </c>
      <c r="AK23" s="364">
        <v>0</v>
      </c>
      <c r="AL23" s="364">
        <v>591524.05000000005</v>
      </c>
      <c r="AM23" s="369">
        <v>471291.78035767551</v>
      </c>
      <c r="AN23" s="505">
        <v>212970.84738200018</v>
      </c>
      <c r="AO23" s="581">
        <f>SUM(AK23:AN23)</f>
        <v>1275786.6777396756</v>
      </c>
      <c r="AP23" s="448">
        <f>+AK23+AL23</f>
        <v>591524.05000000005</v>
      </c>
      <c r="AQ23" s="438"/>
      <c r="AR23" s="449">
        <f t="shared" si="4"/>
        <v>1275786.6777396756</v>
      </c>
      <c r="AS23" s="438"/>
      <c r="AT23" s="438"/>
      <c r="AU23" s="588">
        <v>591524.05000000005</v>
      </c>
      <c r="AV23" s="369">
        <v>471291.78035767551</v>
      </c>
      <c r="AW23" s="505">
        <v>212970.84738200018</v>
      </c>
      <c r="AX23" s="250">
        <f t="shared" si="5"/>
        <v>1275786.6777396756</v>
      </c>
      <c r="AY23" s="250">
        <f t="shared" si="11"/>
        <v>0</v>
      </c>
      <c r="AZ23" s="439"/>
      <c r="BA23" s="582">
        <v>179661.1957130474</v>
      </c>
      <c r="BB23" s="462">
        <f t="shared" si="7"/>
        <v>1455447.873452723</v>
      </c>
      <c r="BC23" s="463">
        <f t="shared" si="8"/>
        <v>0</v>
      </c>
      <c r="BD23" s="431"/>
      <c r="BE23" s="435">
        <f t="shared" si="9"/>
        <v>0</v>
      </c>
    </row>
    <row r="24" spans="1:57" ht="15">
      <c r="A24" s="415">
        <v>18</v>
      </c>
      <c r="B24" s="415">
        <v>181</v>
      </c>
      <c r="C24" t="s">
        <v>478</v>
      </c>
      <c r="D24" t="s">
        <v>968</v>
      </c>
      <c r="E24" s="364">
        <v>-31440.944186000037</v>
      </c>
      <c r="F24" s="364">
        <v>-42737.506611999968</v>
      </c>
      <c r="G24" s="369">
        <v>-16222.336863999953</v>
      </c>
      <c r="H24" s="364">
        <v>-144900.81865999987</v>
      </c>
      <c r="I24" s="350">
        <f t="shared" si="0"/>
        <v>-235301.60632199983</v>
      </c>
      <c r="K24" s="66">
        <f t="shared" si="1"/>
        <v>0</v>
      </c>
      <c r="L24" s="66"/>
      <c r="M24" s="415">
        <v>18</v>
      </c>
      <c r="N24" s="415">
        <v>181</v>
      </c>
      <c r="O24" s="66" t="s">
        <v>478</v>
      </c>
      <c r="P24" t="s">
        <v>968</v>
      </c>
      <c r="Q24" s="364">
        <v>-144900.81865999987</v>
      </c>
      <c r="R24" t="s">
        <v>2580</v>
      </c>
      <c r="S24" s="250"/>
      <c r="T24" s="159">
        <f t="shared" si="10"/>
        <v>0</v>
      </c>
      <c r="U24" s="250"/>
      <c r="V24" s="415">
        <v>18</v>
      </c>
      <c r="W24" t="s">
        <v>478</v>
      </c>
      <c r="X24" t="s">
        <v>968</v>
      </c>
      <c r="Y24" s="364">
        <v>0</v>
      </c>
      <c r="Z24" s="364">
        <v>-31440.944186000037</v>
      </c>
      <c r="AA24" s="369">
        <v>-42737.506611999968</v>
      </c>
      <c r="AB24" s="505">
        <v>-16222.336863999953</v>
      </c>
      <c r="AC24" s="350">
        <f t="shared" si="2"/>
        <v>-90400.787661999959</v>
      </c>
      <c r="AG24" s="159">
        <f t="shared" si="3"/>
        <v>0</v>
      </c>
      <c r="AI24" s="442" t="s">
        <v>478</v>
      </c>
      <c r="AJ24" t="s">
        <v>968</v>
      </c>
      <c r="AK24" s="364">
        <v>0</v>
      </c>
      <c r="AL24" s="364">
        <v>-31440.944186000037</v>
      </c>
      <c r="AM24" s="369">
        <v>-42737.506611999968</v>
      </c>
      <c r="AN24" s="505">
        <v>-16222.336863999953</v>
      </c>
      <c r="AO24" s="448">
        <v>-233373.64079800001</v>
      </c>
      <c r="AP24" s="448"/>
      <c r="AQ24" s="438"/>
      <c r="AR24" s="449">
        <f t="shared" si="4"/>
        <v>-90400.787661999959</v>
      </c>
      <c r="AS24" s="438"/>
      <c r="AT24" s="438"/>
      <c r="AU24" s="588">
        <v>-31440.944186000037</v>
      </c>
      <c r="AV24" s="369">
        <v>-42737.506611999968</v>
      </c>
      <c r="AW24" s="505">
        <v>-16222.336863999953</v>
      </c>
      <c r="AX24" s="250">
        <f t="shared" si="5"/>
        <v>-90400.787661999959</v>
      </c>
      <c r="AY24" s="250">
        <f t="shared" si="11"/>
        <v>0</v>
      </c>
      <c r="AZ24" s="439"/>
      <c r="BA24" s="582">
        <v>-144900.81865999987</v>
      </c>
      <c r="BB24" s="462">
        <f t="shared" si="7"/>
        <v>-235301.60632199983</v>
      </c>
      <c r="BC24" s="463">
        <f t="shared" si="8"/>
        <v>0</v>
      </c>
      <c r="BD24" s="431"/>
      <c r="BE24" s="435">
        <f t="shared" si="9"/>
        <v>0</v>
      </c>
    </row>
    <row r="25" spans="1:57" ht="15">
      <c r="A25" s="415">
        <v>19</v>
      </c>
      <c r="B25" s="415">
        <v>50</v>
      </c>
      <c r="C25" t="s">
        <v>247</v>
      </c>
      <c r="D25" t="s">
        <v>864</v>
      </c>
      <c r="E25" s="364">
        <v>-89531.784245999996</v>
      </c>
      <c r="F25" s="364">
        <v>-74295.125986999963</v>
      </c>
      <c r="G25" s="369">
        <v>-89898.463503999985</v>
      </c>
      <c r="H25" s="364">
        <v>-166118.6580060001</v>
      </c>
      <c r="I25" s="350">
        <f t="shared" si="0"/>
        <v>-419844.03174300003</v>
      </c>
      <c r="K25" s="66">
        <f t="shared" si="1"/>
        <v>0</v>
      </c>
      <c r="L25" s="66"/>
      <c r="M25" s="415">
        <v>19</v>
      </c>
      <c r="N25" s="415">
        <v>50</v>
      </c>
      <c r="O25" s="66" t="s">
        <v>247</v>
      </c>
      <c r="P25" t="s">
        <v>864</v>
      </c>
      <c r="Q25" s="364">
        <v>-166118.6580060001</v>
      </c>
      <c r="R25" t="s">
        <v>2580</v>
      </c>
      <c r="S25" s="250"/>
      <c r="T25" s="159">
        <f t="shared" si="10"/>
        <v>0</v>
      </c>
      <c r="U25" s="250"/>
      <c r="V25" s="415">
        <v>19</v>
      </c>
      <c r="W25" t="s">
        <v>247</v>
      </c>
      <c r="X25" t="s">
        <v>864</v>
      </c>
      <c r="Y25" s="364">
        <v>-34468.716718000207</v>
      </c>
      <c r="Z25" s="364">
        <v>-89531.784245999996</v>
      </c>
      <c r="AA25" s="369">
        <v>-74295.125986999963</v>
      </c>
      <c r="AB25" s="505">
        <v>-89898.463503999985</v>
      </c>
      <c r="AC25" s="350">
        <f t="shared" si="2"/>
        <v>-288194.09045500017</v>
      </c>
      <c r="AG25" s="159">
        <f t="shared" si="3"/>
        <v>0</v>
      </c>
      <c r="AI25" s="442" t="s">
        <v>247</v>
      </c>
      <c r="AJ25" t="s">
        <v>864</v>
      </c>
      <c r="AK25" s="364">
        <v>0</v>
      </c>
      <c r="AL25" s="364">
        <v>-89531.784245999996</v>
      </c>
      <c r="AM25" s="369">
        <v>-74295.125986999963</v>
      </c>
      <c r="AN25" s="505">
        <v>-89898.463503999985</v>
      </c>
      <c r="AO25" s="448">
        <v>-383104.87695100019</v>
      </c>
      <c r="AP25" s="448"/>
      <c r="AQ25" s="438"/>
      <c r="AR25" s="449">
        <f t="shared" si="4"/>
        <v>-253725.37373699993</v>
      </c>
      <c r="AS25" s="438"/>
      <c r="AT25" s="438"/>
      <c r="AU25" s="588">
        <v>-89531.784245999996</v>
      </c>
      <c r="AV25" s="369">
        <v>-74295.125986999963</v>
      </c>
      <c r="AW25" s="505">
        <v>-89898.463503999985</v>
      </c>
      <c r="AX25" s="250">
        <f t="shared" si="5"/>
        <v>-253725.37373699993</v>
      </c>
      <c r="AY25" s="250">
        <f t="shared" si="11"/>
        <v>0</v>
      </c>
      <c r="AZ25" s="439"/>
      <c r="BA25" s="582">
        <v>-166118.6580060001</v>
      </c>
      <c r="BB25" s="462">
        <f t="shared" si="7"/>
        <v>-419844.03174300003</v>
      </c>
      <c r="BC25" s="463">
        <f t="shared" si="8"/>
        <v>0</v>
      </c>
      <c r="BD25" s="431"/>
      <c r="BE25" s="435">
        <f t="shared" si="9"/>
        <v>0</v>
      </c>
    </row>
    <row r="26" spans="1:57" ht="15">
      <c r="A26" s="415">
        <v>20</v>
      </c>
      <c r="B26" s="415">
        <v>93</v>
      </c>
      <c r="C26" t="s">
        <v>330</v>
      </c>
      <c r="D26" t="s">
        <v>902</v>
      </c>
      <c r="E26" s="364">
        <v>-45466.955079999985</v>
      </c>
      <c r="F26" s="364">
        <v>-50645.156239999997</v>
      </c>
      <c r="G26" s="369">
        <v>-49721.849549999999</v>
      </c>
      <c r="H26" s="364">
        <v>-101338.98457800002</v>
      </c>
      <c r="I26" s="350">
        <f t="shared" si="0"/>
        <v>-247172.94544799998</v>
      </c>
      <c r="K26" s="66">
        <f t="shared" si="1"/>
        <v>0</v>
      </c>
      <c r="L26" s="66"/>
      <c r="M26" s="415">
        <v>20</v>
      </c>
      <c r="N26" s="415">
        <v>93</v>
      </c>
      <c r="O26" s="66" t="s">
        <v>330</v>
      </c>
      <c r="P26" t="s">
        <v>902</v>
      </c>
      <c r="Q26" s="364">
        <v>-101338.98457800002</v>
      </c>
      <c r="R26" t="s">
        <v>2580</v>
      </c>
      <c r="S26" s="250"/>
      <c r="T26" s="159">
        <f t="shared" si="10"/>
        <v>0</v>
      </c>
      <c r="U26" s="250"/>
      <c r="V26" s="415">
        <v>20</v>
      </c>
      <c r="W26" t="s">
        <v>330</v>
      </c>
      <c r="X26" t="s">
        <v>902</v>
      </c>
      <c r="Y26" s="364">
        <v>-42479.859096</v>
      </c>
      <c r="Z26" s="364">
        <v>-45466.955079999985</v>
      </c>
      <c r="AA26" s="369">
        <v>-50645.156239999997</v>
      </c>
      <c r="AB26" s="505">
        <v>-49721.849549999999</v>
      </c>
      <c r="AC26" s="350">
        <f t="shared" si="2"/>
        <v>-188313.81996599998</v>
      </c>
      <c r="AG26" s="159">
        <f t="shared" si="3"/>
        <v>0</v>
      </c>
      <c r="AI26" s="442" t="s">
        <v>330</v>
      </c>
      <c r="AJ26" t="s">
        <v>902</v>
      </c>
      <c r="AK26" s="364">
        <v>0</v>
      </c>
      <c r="AL26" s="364">
        <v>-45466.955079999985</v>
      </c>
      <c r="AM26" s="369">
        <v>-50645.156239999997</v>
      </c>
      <c r="AN26" s="505">
        <v>-49721.849549999999</v>
      </c>
      <c r="AO26" s="448">
        <v>-192424.39041599998</v>
      </c>
      <c r="AP26" s="448"/>
      <c r="AQ26" s="438"/>
      <c r="AR26" s="449">
        <f t="shared" si="4"/>
        <v>-145833.96086999998</v>
      </c>
      <c r="AS26" s="438"/>
      <c r="AT26" s="438"/>
      <c r="AU26" s="588">
        <v>-45466.955079999985</v>
      </c>
      <c r="AV26" s="369">
        <v>-50645.156239999997</v>
      </c>
      <c r="AW26" s="505">
        <v>-49721.849549999999</v>
      </c>
      <c r="AX26" s="250">
        <f t="shared" si="5"/>
        <v>-145833.96086999998</v>
      </c>
      <c r="AY26" s="250">
        <f t="shared" si="11"/>
        <v>0</v>
      </c>
      <c r="AZ26" s="439"/>
      <c r="BA26" s="582">
        <v>-101338.98457800002</v>
      </c>
      <c r="BB26" s="462">
        <f t="shared" si="7"/>
        <v>-247172.94544799998</v>
      </c>
      <c r="BC26" s="463">
        <f t="shared" si="8"/>
        <v>0</v>
      </c>
      <c r="BD26" s="431"/>
      <c r="BE26" s="435">
        <f t="shared" si="9"/>
        <v>0</v>
      </c>
    </row>
    <row r="27" spans="1:57" ht="15">
      <c r="A27" s="415">
        <v>21</v>
      </c>
      <c r="B27" s="415">
        <v>219</v>
      </c>
      <c r="C27" t="s">
        <v>545</v>
      </c>
      <c r="D27" t="s">
        <v>1620</v>
      </c>
      <c r="E27" s="364">
        <v>562110.29</v>
      </c>
      <c r="F27" s="364">
        <v>-22376.025209999818</v>
      </c>
      <c r="G27" s="369">
        <v>242695.45429000026</v>
      </c>
      <c r="H27" s="364">
        <v>421374.08388399985</v>
      </c>
      <c r="I27" s="350">
        <f t="shared" si="0"/>
        <v>1203803.8029640003</v>
      </c>
      <c r="K27" s="66">
        <f t="shared" si="1"/>
        <v>0</v>
      </c>
      <c r="L27" s="66"/>
      <c r="M27" s="415">
        <v>21</v>
      </c>
      <c r="N27" s="415">
        <v>219</v>
      </c>
      <c r="O27" s="66" t="s">
        <v>545</v>
      </c>
      <c r="P27" t="s">
        <v>1620</v>
      </c>
      <c r="Q27" s="364">
        <v>421374.08388399985</v>
      </c>
      <c r="R27" t="s">
        <v>2580</v>
      </c>
      <c r="S27" s="250"/>
      <c r="T27" s="159">
        <f t="shared" si="10"/>
        <v>0</v>
      </c>
      <c r="U27" s="250"/>
      <c r="V27" s="415">
        <v>21</v>
      </c>
      <c r="W27" t="s">
        <v>545</v>
      </c>
      <c r="X27" t="s">
        <v>1620</v>
      </c>
      <c r="Y27" s="364">
        <v>1147.8537820003694</v>
      </c>
      <c r="Z27" s="364">
        <v>560962.43865600019</v>
      </c>
      <c r="AA27" s="369">
        <v>-22376.025209999818</v>
      </c>
      <c r="AB27" s="505">
        <v>242695.45429000026</v>
      </c>
      <c r="AC27" s="350">
        <f t="shared" si="2"/>
        <v>782429.72151800105</v>
      </c>
      <c r="AG27" s="159">
        <f t="shared" si="3"/>
        <v>0</v>
      </c>
      <c r="AI27" s="442" t="s">
        <v>545</v>
      </c>
      <c r="AJ27" t="s">
        <v>1620</v>
      </c>
      <c r="AK27" s="364">
        <v>0</v>
      </c>
      <c r="AL27" s="364">
        <v>562110.29243800056</v>
      </c>
      <c r="AM27" s="369">
        <v>-22376.025209999818</v>
      </c>
      <c r="AN27" s="505">
        <v>242695.45429000026</v>
      </c>
      <c r="AO27" s="581">
        <f>SUM(AK27:AN27)</f>
        <v>782429.72151800105</v>
      </c>
      <c r="AP27" s="448">
        <f>+AK27+AL27</f>
        <v>562110.29243800056</v>
      </c>
      <c r="AQ27" s="438"/>
      <c r="AR27" s="449">
        <f t="shared" si="4"/>
        <v>782429.72151800105</v>
      </c>
      <c r="AS27" s="438"/>
      <c r="AT27" s="438"/>
      <c r="AU27" s="585">
        <v>562110.29</v>
      </c>
      <c r="AV27" s="369">
        <v>-22376.025209999818</v>
      </c>
      <c r="AW27" s="505">
        <v>242695.45429000026</v>
      </c>
      <c r="AX27" s="452">
        <f t="shared" si="5"/>
        <v>782429.71908000042</v>
      </c>
      <c r="AY27" s="250">
        <f t="shared" si="11"/>
        <v>-2.4380006361752748E-3</v>
      </c>
      <c r="AZ27" s="439"/>
      <c r="BA27" s="582">
        <v>421374.08388399985</v>
      </c>
      <c r="BB27" s="462">
        <f t="shared" si="7"/>
        <v>1203803.8029640003</v>
      </c>
      <c r="BC27" s="463">
        <f t="shared" si="8"/>
        <v>0</v>
      </c>
      <c r="BD27" s="431"/>
      <c r="BE27" s="435">
        <f t="shared" si="9"/>
        <v>0</v>
      </c>
    </row>
    <row r="28" spans="1:57" ht="15">
      <c r="A28" s="415">
        <v>22</v>
      </c>
      <c r="B28" s="415">
        <v>35</v>
      </c>
      <c r="C28" t="s">
        <v>223</v>
      </c>
      <c r="D28" t="s">
        <v>853</v>
      </c>
      <c r="E28" s="364">
        <v>-125466.61699999915</v>
      </c>
      <c r="F28" s="364">
        <v>-755052.23769600014</v>
      </c>
      <c r="G28" s="369">
        <v>-1452558.3244160004</v>
      </c>
      <c r="H28" s="364">
        <v>-1727843.4942890001</v>
      </c>
      <c r="I28" s="350">
        <f t="shared" si="0"/>
        <v>-4060920.6734009995</v>
      </c>
      <c r="K28" s="66">
        <f t="shared" si="1"/>
        <v>0</v>
      </c>
      <c r="L28" s="66"/>
      <c r="M28" s="415">
        <v>22</v>
      </c>
      <c r="N28" s="415">
        <v>35</v>
      </c>
      <c r="O28" s="66" t="s">
        <v>223</v>
      </c>
      <c r="P28" t="s">
        <v>853</v>
      </c>
      <c r="Q28" s="364">
        <v>-1727843.4942890001</v>
      </c>
      <c r="R28" t="s">
        <v>2580</v>
      </c>
      <c r="S28" s="250"/>
      <c r="T28" s="159">
        <f t="shared" si="10"/>
        <v>0</v>
      </c>
      <c r="U28" s="250"/>
      <c r="V28" s="415">
        <v>22</v>
      </c>
      <c r="W28" t="s">
        <v>223</v>
      </c>
      <c r="X28" t="s">
        <v>853</v>
      </c>
      <c r="Y28" s="364">
        <v>-597158.61749999993</v>
      </c>
      <c r="Z28" s="364">
        <v>-125466.61699999915</v>
      </c>
      <c r="AA28" s="369">
        <v>-755052.23769600014</v>
      </c>
      <c r="AB28" s="505">
        <v>-1452558.3244160004</v>
      </c>
      <c r="AC28" s="350">
        <f t="shared" si="2"/>
        <v>-2930235.7966119996</v>
      </c>
      <c r="AG28" s="159">
        <f t="shared" si="3"/>
        <v>0</v>
      </c>
      <c r="AI28" s="442" t="s">
        <v>223</v>
      </c>
      <c r="AJ28" t="s">
        <v>853</v>
      </c>
      <c r="AK28" s="364">
        <v>0</v>
      </c>
      <c r="AL28" s="364">
        <v>-125466.61699999915</v>
      </c>
      <c r="AM28" s="369">
        <v>-755052.23769600014</v>
      </c>
      <c r="AN28" s="505">
        <v>-1452558.3244160004</v>
      </c>
      <c r="AO28" s="448">
        <v>-2228324.1021959996</v>
      </c>
      <c r="AP28" s="448"/>
      <c r="AQ28" s="438"/>
      <c r="AR28" s="449">
        <f t="shared" si="4"/>
        <v>-2333077.1791119995</v>
      </c>
      <c r="AS28" s="438"/>
      <c r="AT28" s="438"/>
      <c r="AU28" s="588">
        <v>-125466.61699999915</v>
      </c>
      <c r="AV28" s="369">
        <v>-755052.23769600014</v>
      </c>
      <c r="AW28" s="505">
        <v>-1452558.3244160004</v>
      </c>
      <c r="AX28" s="452">
        <f t="shared" si="5"/>
        <v>-2333077.1791119995</v>
      </c>
      <c r="AY28" s="250">
        <f t="shared" ref="AY28:AY86" si="12">+AX28-AR28</f>
        <v>0</v>
      </c>
      <c r="AZ28" s="439"/>
      <c r="BA28" s="582">
        <v>-1727843.4942890001</v>
      </c>
      <c r="BB28" s="462">
        <f t="shared" si="7"/>
        <v>-4060920.6734009995</v>
      </c>
      <c r="BC28" s="463">
        <f t="shared" si="8"/>
        <v>0</v>
      </c>
      <c r="BD28" s="431"/>
      <c r="BE28" s="435">
        <f t="shared" si="9"/>
        <v>0</v>
      </c>
    </row>
    <row r="29" spans="1:57" ht="15">
      <c r="A29" s="415">
        <v>23</v>
      </c>
      <c r="B29" s="415">
        <v>26</v>
      </c>
      <c r="C29" t="s">
        <v>209</v>
      </c>
      <c r="D29" t="s">
        <v>847</v>
      </c>
      <c r="E29" s="364">
        <v>-330947.09558500012</v>
      </c>
      <c r="F29" s="364">
        <v>-329463.94672000001</v>
      </c>
      <c r="G29" s="369">
        <v>-374246.72655600007</v>
      </c>
      <c r="H29" s="364">
        <v>-446390.51347200002</v>
      </c>
      <c r="I29" s="350">
        <f t="shared" si="0"/>
        <v>-1481048.2823330001</v>
      </c>
      <c r="K29" s="66">
        <f t="shared" si="1"/>
        <v>0</v>
      </c>
      <c r="L29" s="66"/>
      <c r="M29" s="415">
        <v>23</v>
      </c>
      <c r="N29" s="415">
        <v>26</v>
      </c>
      <c r="O29" s="66" t="s">
        <v>209</v>
      </c>
      <c r="P29" t="s">
        <v>847</v>
      </c>
      <c r="Q29" s="364">
        <v>-446390.51347200002</v>
      </c>
      <c r="R29" t="s">
        <v>2580</v>
      </c>
      <c r="S29" s="250"/>
      <c r="T29" s="159">
        <f t="shared" si="10"/>
        <v>0</v>
      </c>
      <c r="U29" s="250"/>
      <c r="V29" s="415">
        <v>23</v>
      </c>
      <c r="W29" t="s">
        <v>209</v>
      </c>
      <c r="X29" t="s">
        <v>847</v>
      </c>
      <c r="Y29" s="364">
        <v>-482117.58991999994</v>
      </c>
      <c r="Z29" s="364">
        <v>-330947.09558500012</v>
      </c>
      <c r="AA29" s="369">
        <v>-329463.94672000001</v>
      </c>
      <c r="AB29" s="505">
        <v>-374246.72655600007</v>
      </c>
      <c r="AC29" s="350">
        <f t="shared" si="2"/>
        <v>-1516775.3587810001</v>
      </c>
      <c r="AG29" s="159">
        <f t="shared" si="3"/>
        <v>0</v>
      </c>
      <c r="AI29" s="442" t="s">
        <v>209</v>
      </c>
      <c r="AJ29" t="s">
        <v>847</v>
      </c>
      <c r="AK29" s="364">
        <v>0</v>
      </c>
      <c r="AL29" s="364">
        <v>-330947.09558500012</v>
      </c>
      <c r="AM29" s="369">
        <v>-329463.94672000001</v>
      </c>
      <c r="AN29" s="505">
        <v>-374246.72655600007</v>
      </c>
      <c r="AO29" s="448">
        <v>-1428719.9122250001</v>
      </c>
      <c r="AP29" s="448"/>
      <c r="AQ29" s="438"/>
      <c r="AR29" s="449">
        <f t="shared" si="4"/>
        <v>-1034657.7688610002</v>
      </c>
      <c r="AS29" s="438"/>
      <c r="AT29" s="438"/>
      <c r="AU29" s="364">
        <v>-330947.09558500012</v>
      </c>
      <c r="AV29" s="369">
        <v>-329463.94672000001</v>
      </c>
      <c r="AW29" s="505">
        <v>-374246.72655600007</v>
      </c>
      <c r="AX29" s="452">
        <f t="shared" si="5"/>
        <v>-1034657.7688610002</v>
      </c>
      <c r="AY29" s="250">
        <f t="shared" si="12"/>
        <v>0</v>
      </c>
      <c r="AZ29" s="439"/>
      <c r="BA29" s="582">
        <v>-446390.51347200002</v>
      </c>
      <c r="BB29" s="462">
        <f t="shared" si="7"/>
        <v>-1481048.2823330001</v>
      </c>
      <c r="BC29" s="463">
        <f t="shared" si="8"/>
        <v>0</v>
      </c>
      <c r="BD29" s="431"/>
      <c r="BE29" s="435">
        <f t="shared" si="9"/>
        <v>0</v>
      </c>
    </row>
    <row r="30" spans="1:57" ht="15">
      <c r="A30" s="415">
        <v>24</v>
      </c>
      <c r="B30" s="415">
        <v>199</v>
      </c>
      <c r="C30" t="s">
        <v>511</v>
      </c>
      <c r="D30" t="s">
        <v>985</v>
      </c>
      <c r="E30" s="364">
        <v>0</v>
      </c>
      <c r="F30" s="364">
        <v>0</v>
      </c>
      <c r="G30" s="369">
        <v>-30288.204129999991</v>
      </c>
      <c r="H30" s="364">
        <v>-5123.1700649999984</v>
      </c>
      <c r="I30" s="350">
        <f t="shared" si="0"/>
        <v>-35411.374194999989</v>
      </c>
      <c r="K30" s="66">
        <f t="shared" si="1"/>
        <v>0</v>
      </c>
      <c r="L30" s="66"/>
      <c r="M30" s="415">
        <v>24</v>
      </c>
      <c r="N30" s="415">
        <v>199</v>
      </c>
      <c r="O30" s="66" t="s">
        <v>511</v>
      </c>
      <c r="P30" t="s">
        <v>985</v>
      </c>
      <c r="Q30" s="364">
        <v>-5123.1700649999984</v>
      </c>
      <c r="R30" t="s">
        <v>2580</v>
      </c>
      <c r="S30" s="250"/>
      <c r="T30" s="159">
        <f t="shared" si="10"/>
        <v>0</v>
      </c>
      <c r="U30" s="250"/>
      <c r="V30" s="415">
        <v>24</v>
      </c>
      <c r="W30" t="s">
        <v>511</v>
      </c>
      <c r="X30" t="s">
        <v>985</v>
      </c>
      <c r="Y30" s="364">
        <v>0</v>
      </c>
      <c r="Z30" s="364">
        <v>0</v>
      </c>
      <c r="AA30" s="369">
        <v>0</v>
      </c>
      <c r="AB30" s="505">
        <v>-30288.204129999991</v>
      </c>
      <c r="AC30" s="350">
        <f t="shared" si="2"/>
        <v>-30288.204129999991</v>
      </c>
      <c r="AG30" s="159">
        <f t="shared" si="3"/>
        <v>0</v>
      </c>
      <c r="AI30" s="442" t="s">
        <v>511</v>
      </c>
      <c r="AJ30" t="s">
        <v>985</v>
      </c>
      <c r="AK30" s="364">
        <v>0</v>
      </c>
      <c r="AL30" s="364">
        <v>0</v>
      </c>
      <c r="AM30" s="369">
        <v>0</v>
      </c>
      <c r="AN30" s="505">
        <v>-30288.204129999991</v>
      </c>
      <c r="AO30" s="448">
        <v>-13362.93119600001</v>
      </c>
      <c r="AP30" s="448"/>
      <c r="AQ30" s="438"/>
      <c r="AR30" s="449">
        <f t="shared" si="4"/>
        <v>-30288.204129999991</v>
      </c>
      <c r="AS30" s="438"/>
      <c r="AT30" s="438"/>
      <c r="AU30" s="364">
        <v>0</v>
      </c>
      <c r="AV30" s="369">
        <v>0</v>
      </c>
      <c r="AW30" s="505">
        <v>-30288.204129999991</v>
      </c>
      <c r="AX30" s="452">
        <f t="shared" si="5"/>
        <v>-30288.204129999991</v>
      </c>
      <c r="AY30" s="250">
        <f t="shared" si="12"/>
        <v>0</v>
      </c>
      <c r="AZ30" s="439"/>
      <c r="BA30" s="582">
        <v>-5123.1700649999984</v>
      </c>
      <c r="BB30" s="462">
        <f t="shared" si="7"/>
        <v>-35411.374194999989</v>
      </c>
      <c r="BC30" s="463">
        <f t="shared" si="8"/>
        <v>0</v>
      </c>
      <c r="BD30" s="431"/>
      <c r="BE30" s="435">
        <f t="shared" si="9"/>
        <v>0</v>
      </c>
    </row>
    <row r="31" spans="1:57" ht="15">
      <c r="A31" s="415">
        <v>25</v>
      </c>
      <c r="B31" s="415">
        <v>19</v>
      </c>
      <c r="C31" t="s">
        <v>199</v>
      </c>
      <c r="D31" t="s">
        <v>842</v>
      </c>
      <c r="E31" s="364">
        <v>-187654.91392400005</v>
      </c>
      <c r="F31" s="364">
        <v>-231324.54075199986</v>
      </c>
      <c r="G31" s="369">
        <v>-211215.17727299989</v>
      </c>
      <c r="H31" s="364">
        <v>-153442.77773999999</v>
      </c>
      <c r="I31" s="350">
        <f t="shared" si="0"/>
        <v>-783637.40968899988</v>
      </c>
      <c r="K31" s="66">
        <f t="shared" si="1"/>
        <v>0</v>
      </c>
      <c r="L31" s="66"/>
      <c r="M31" s="415">
        <v>25</v>
      </c>
      <c r="N31" s="415">
        <v>19</v>
      </c>
      <c r="O31" s="66" t="s">
        <v>199</v>
      </c>
      <c r="P31" t="s">
        <v>842</v>
      </c>
      <c r="Q31" s="364">
        <v>-153442.77773999999</v>
      </c>
      <c r="R31" t="s">
        <v>2580</v>
      </c>
      <c r="S31" s="250"/>
      <c r="T31" s="159">
        <f t="shared" si="10"/>
        <v>0</v>
      </c>
      <c r="U31" s="250"/>
      <c r="V31" s="415">
        <v>25</v>
      </c>
      <c r="W31" t="s">
        <v>199</v>
      </c>
      <c r="X31" t="s">
        <v>842</v>
      </c>
      <c r="Y31" s="364">
        <v>-195571.98435199997</v>
      </c>
      <c r="Z31" s="364">
        <v>-187654.91392400005</v>
      </c>
      <c r="AA31" s="369">
        <v>-231324.54075199986</v>
      </c>
      <c r="AB31" s="505">
        <v>-211215.17727299989</v>
      </c>
      <c r="AC31" s="350">
        <f t="shared" si="2"/>
        <v>-825766.61630099977</v>
      </c>
      <c r="AG31" s="159">
        <f t="shared" si="3"/>
        <v>0</v>
      </c>
      <c r="AI31" s="442" t="s">
        <v>199</v>
      </c>
      <c r="AJ31" t="s">
        <v>842</v>
      </c>
      <c r="AK31" s="364">
        <v>0</v>
      </c>
      <c r="AL31" s="364">
        <v>-187654.91392400005</v>
      </c>
      <c r="AM31" s="369">
        <v>-231324.54075199986</v>
      </c>
      <c r="AN31" s="505">
        <v>-211215.17727299989</v>
      </c>
      <c r="AO31" s="448">
        <v>-821878.00902799994</v>
      </c>
      <c r="AP31" s="448"/>
      <c r="AQ31" s="438"/>
      <c r="AR31" s="449">
        <f t="shared" si="4"/>
        <v>-630194.63194899983</v>
      </c>
      <c r="AS31" s="438"/>
      <c r="AT31" s="438"/>
      <c r="AU31" s="364">
        <v>-187654.91392400005</v>
      </c>
      <c r="AV31" s="369">
        <v>-231324.54075199986</v>
      </c>
      <c r="AW31" s="505">
        <v>-211215.17727299989</v>
      </c>
      <c r="AX31" s="452">
        <f t="shared" si="5"/>
        <v>-630194.63194899983</v>
      </c>
      <c r="AY31" s="250">
        <f t="shared" si="12"/>
        <v>0</v>
      </c>
      <c r="AZ31" s="439"/>
      <c r="BA31" s="582">
        <v>-153442.77773999999</v>
      </c>
      <c r="BB31" s="462">
        <f t="shared" si="7"/>
        <v>-783637.40968899988</v>
      </c>
      <c r="BC31" s="463">
        <f t="shared" si="8"/>
        <v>0</v>
      </c>
      <c r="BD31" s="431"/>
      <c r="BE31" s="435">
        <f t="shared" si="9"/>
        <v>0</v>
      </c>
    </row>
    <row r="32" spans="1:57" ht="15">
      <c r="A32" s="415">
        <v>26</v>
      </c>
      <c r="B32" s="415">
        <v>18</v>
      </c>
      <c r="C32" t="s">
        <v>197</v>
      </c>
      <c r="D32" t="s">
        <v>841</v>
      </c>
      <c r="E32" s="364">
        <v>-84436.187971999869</v>
      </c>
      <c r="F32" s="364">
        <v>-194675.31038400007</v>
      </c>
      <c r="G32" s="369">
        <v>-214201.25132799998</v>
      </c>
      <c r="H32" s="364">
        <v>-292715.42008999991</v>
      </c>
      <c r="I32" s="350">
        <f t="shared" si="0"/>
        <v>-786028.16977399983</v>
      </c>
      <c r="K32" s="66">
        <f t="shared" si="1"/>
        <v>0</v>
      </c>
      <c r="L32" s="66"/>
      <c r="M32" s="415">
        <v>26</v>
      </c>
      <c r="N32" s="415">
        <v>18</v>
      </c>
      <c r="O32" s="66" t="s">
        <v>197</v>
      </c>
      <c r="P32" t="s">
        <v>841</v>
      </c>
      <c r="Q32" s="364">
        <v>-292715.42008999991</v>
      </c>
      <c r="R32" t="s">
        <v>2580</v>
      </c>
      <c r="S32" s="250"/>
      <c r="T32" s="159">
        <f t="shared" si="10"/>
        <v>0</v>
      </c>
      <c r="U32" s="250"/>
      <c r="V32" s="415">
        <v>26</v>
      </c>
      <c r="W32" t="s">
        <v>197</v>
      </c>
      <c r="X32" t="s">
        <v>841</v>
      </c>
      <c r="Y32" s="364">
        <v>0</v>
      </c>
      <c r="Z32" s="364">
        <v>-84436.187971999869</v>
      </c>
      <c r="AA32" s="369">
        <v>-194675.31038400007</v>
      </c>
      <c r="AB32" s="505">
        <v>-214201.25132799998</v>
      </c>
      <c r="AC32" s="350">
        <f t="shared" si="2"/>
        <v>-493312.74968399992</v>
      </c>
      <c r="AG32" s="159">
        <f t="shared" si="3"/>
        <v>0</v>
      </c>
      <c r="AI32" s="442" t="s">
        <v>197</v>
      </c>
      <c r="AJ32" t="s">
        <v>841</v>
      </c>
      <c r="AK32" s="364">
        <v>0</v>
      </c>
      <c r="AL32" s="364">
        <v>-84436.187971999869</v>
      </c>
      <c r="AM32" s="369">
        <v>-194675.31038400007</v>
      </c>
      <c r="AN32" s="505">
        <v>-214201.25132799998</v>
      </c>
      <c r="AO32" s="448">
        <v>-349317.26835599996</v>
      </c>
      <c r="AP32" s="448"/>
      <c r="AQ32" s="438"/>
      <c r="AR32" s="449">
        <f t="shared" si="4"/>
        <v>-493312.74968399992</v>
      </c>
      <c r="AS32" s="438"/>
      <c r="AT32" s="438"/>
      <c r="AU32" s="364">
        <v>-84436.187971999869</v>
      </c>
      <c r="AV32" s="369">
        <v>-194675.31038400007</v>
      </c>
      <c r="AW32" s="505">
        <v>-214201.25132799998</v>
      </c>
      <c r="AX32" s="452">
        <f t="shared" si="5"/>
        <v>-493312.74968399992</v>
      </c>
      <c r="AY32" s="250">
        <f t="shared" si="12"/>
        <v>0</v>
      </c>
      <c r="AZ32" s="439"/>
      <c r="BA32" s="582">
        <v>-292715.42008999991</v>
      </c>
      <c r="BB32" s="462">
        <f t="shared" si="7"/>
        <v>-786028.16977399983</v>
      </c>
      <c r="BC32" s="463">
        <f t="shared" si="8"/>
        <v>0</v>
      </c>
      <c r="BD32" s="431"/>
      <c r="BE32" s="435">
        <f t="shared" si="9"/>
        <v>0</v>
      </c>
    </row>
    <row r="33" spans="1:57" ht="15">
      <c r="A33" s="415">
        <v>27</v>
      </c>
      <c r="B33" s="415">
        <v>45</v>
      </c>
      <c r="C33" t="s">
        <v>237</v>
      </c>
      <c r="D33" t="s">
        <v>859</v>
      </c>
      <c r="E33" s="364">
        <v>-83655.406346000032</v>
      </c>
      <c r="F33" s="364">
        <v>-273378.89721599978</v>
      </c>
      <c r="G33" s="369">
        <v>-269857.28955199954</v>
      </c>
      <c r="H33" s="364">
        <v>-341856.70607999992</v>
      </c>
      <c r="I33" s="350">
        <f t="shared" si="0"/>
        <v>-968748.29919399926</v>
      </c>
      <c r="K33" s="66">
        <f t="shared" si="1"/>
        <v>0</v>
      </c>
      <c r="L33" s="66"/>
      <c r="M33" s="415">
        <v>27</v>
      </c>
      <c r="N33" s="415">
        <v>45</v>
      </c>
      <c r="O33" s="66" t="s">
        <v>237</v>
      </c>
      <c r="P33" t="s">
        <v>859</v>
      </c>
      <c r="Q33" s="364">
        <v>-341856.70607999992</v>
      </c>
      <c r="R33" t="s">
        <v>2580</v>
      </c>
      <c r="S33" s="250"/>
      <c r="T33" s="159">
        <f t="shared" si="10"/>
        <v>0</v>
      </c>
      <c r="U33" s="250"/>
      <c r="V33" s="415">
        <v>27</v>
      </c>
      <c r="W33" t="s">
        <v>237</v>
      </c>
      <c r="X33" t="s">
        <v>859</v>
      </c>
      <c r="Y33" s="364">
        <v>-207275.61330099992</v>
      </c>
      <c r="Z33" s="364">
        <v>-83655.406346000032</v>
      </c>
      <c r="AA33" s="369">
        <v>-273378.89721599978</v>
      </c>
      <c r="AB33" s="505">
        <v>-269857.28955199954</v>
      </c>
      <c r="AC33" s="350">
        <f t="shared" si="2"/>
        <v>-834167.20641499932</v>
      </c>
      <c r="AG33" s="159">
        <f t="shared" si="3"/>
        <v>0</v>
      </c>
      <c r="AI33" s="442" t="s">
        <v>237</v>
      </c>
      <c r="AJ33" t="s">
        <v>859</v>
      </c>
      <c r="AK33" s="364">
        <v>0</v>
      </c>
      <c r="AL33" s="364">
        <v>-83655.406346000032</v>
      </c>
      <c r="AM33" s="369">
        <v>-273378.89721599978</v>
      </c>
      <c r="AN33" s="505">
        <v>-269857.28955199954</v>
      </c>
      <c r="AO33" s="448">
        <v>-692439.4468629997</v>
      </c>
      <c r="AP33" s="448"/>
      <c r="AQ33" s="438"/>
      <c r="AR33" s="449">
        <f t="shared" si="4"/>
        <v>-626891.59311399935</v>
      </c>
      <c r="AS33" s="438"/>
      <c r="AT33" s="438"/>
      <c r="AU33" s="364">
        <v>-83655.406346000032</v>
      </c>
      <c r="AV33" s="369">
        <v>-273378.89721599978</v>
      </c>
      <c r="AW33" s="505">
        <v>-269857.28955199954</v>
      </c>
      <c r="AX33" s="452">
        <f t="shared" si="5"/>
        <v>-626891.59311399935</v>
      </c>
      <c r="AY33" s="250">
        <f t="shared" si="12"/>
        <v>0</v>
      </c>
      <c r="AZ33" s="439"/>
      <c r="BA33" s="582">
        <v>-341856.70607999992</v>
      </c>
      <c r="BB33" s="462">
        <f t="shared" si="7"/>
        <v>-968748.29919399926</v>
      </c>
      <c r="BC33" s="463">
        <f t="shared" si="8"/>
        <v>0</v>
      </c>
      <c r="BD33" s="431"/>
      <c r="BE33" s="435">
        <f t="shared" si="9"/>
        <v>0</v>
      </c>
    </row>
    <row r="34" spans="1:57" ht="15">
      <c r="A34" s="415">
        <v>28</v>
      </c>
      <c r="B34" s="415">
        <v>132</v>
      </c>
      <c r="C34" t="s">
        <v>1575</v>
      </c>
      <c r="D34" t="s">
        <v>1615</v>
      </c>
      <c r="E34" s="364">
        <v>-130405.96000000002</v>
      </c>
      <c r="F34" s="364">
        <v>-149926.76800000004</v>
      </c>
      <c r="G34" s="369">
        <v>-203190.90877600003</v>
      </c>
      <c r="H34" s="364">
        <v>-271894.97926000005</v>
      </c>
      <c r="I34" s="350">
        <f t="shared" si="0"/>
        <v>-755418.6160360002</v>
      </c>
      <c r="K34" s="66">
        <f t="shared" si="1"/>
        <v>0</v>
      </c>
      <c r="L34" s="66"/>
      <c r="M34" s="415">
        <v>28</v>
      </c>
      <c r="N34" s="415">
        <v>132</v>
      </c>
      <c r="O34" s="66" t="s">
        <v>1575</v>
      </c>
      <c r="P34" t="s">
        <v>1615</v>
      </c>
      <c r="Q34" s="364">
        <v>-271894.97926000005</v>
      </c>
      <c r="R34" t="s">
        <v>2580</v>
      </c>
      <c r="S34" s="250"/>
      <c r="T34" s="159">
        <f t="shared" si="10"/>
        <v>0</v>
      </c>
      <c r="U34" s="250"/>
      <c r="V34" s="415">
        <v>28</v>
      </c>
      <c r="W34" t="s">
        <v>1575</v>
      </c>
      <c r="X34" t="s">
        <v>1615</v>
      </c>
      <c r="Y34" s="364">
        <v>-43384.610000000015</v>
      </c>
      <c r="Z34" s="364">
        <v>-130405.96000000002</v>
      </c>
      <c r="AA34" s="369">
        <v>-149926.76800000004</v>
      </c>
      <c r="AB34" s="505">
        <v>-203190.90877600003</v>
      </c>
      <c r="AC34" s="350">
        <f t="shared" si="2"/>
        <v>-526908.24677600013</v>
      </c>
      <c r="AG34" s="159">
        <f t="shared" si="3"/>
        <v>0</v>
      </c>
      <c r="AI34" s="442" t="s">
        <v>1575</v>
      </c>
      <c r="AJ34" t="s">
        <v>1615</v>
      </c>
      <c r="AK34" s="364">
        <v>0</v>
      </c>
      <c r="AL34" s="364">
        <v>-130405.96000000002</v>
      </c>
      <c r="AM34" s="369">
        <v>-149926.76800000004</v>
      </c>
      <c r="AN34" s="505">
        <v>-203190.90877600003</v>
      </c>
      <c r="AO34" s="448">
        <v>-323717.33800000011</v>
      </c>
      <c r="AP34" s="448"/>
      <c r="AQ34" s="438"/>
      <c r="AR34" s="449">
        <f t="shared" si="4"/>
        <v>-483523.63677600009</v>
      </c>
      <c r="AS34" s="438"/>
      <c r="AT34" s="438"/>
      <c r="AU34" s="364">
        <v>-130405.96000000002</v>
      </c>
      <c r="AV34" s="369">
        <v>-149926.76800000004</v>
      </c>
      <c r="AW34" s="505">
        <v>-203190.90877600003</v>
      </c>
      <c r="AX34" s="452">
        <f t="shared" si="5"/>
        <v>-483523.63677600009</v>
      </c>
      <c r="AY34" s="250">
        <f t="shared" si="12"/>
        <v>0</v>
      </c>
      <c r="AZ34" s="439"/>
      <c r="BA34" s="582">
        <v>-271894.97926000005</v>
      </c>
      <c r="BB34" s="462">
        <f t="shared" si="7"/>
        <v>-755418.6160360002</v>
      </c>
      <c r="BC34" s="463">
        <f t="shared" si="8"/>
        <v>0</v>
      </c>
      <c r="BD34" s="431"/>
      <c r="BE34" s="435">
        <f t="shared" si="9"/>
        <v>0</v>
      </c>
    </row>
    <row r="35" spans="1:57" ht="15">
      <c r="A35" s="415">
        <v>29</v>
      </c>
      <c r="B35" s="415">
        <v>142</v>
      </c>
      <c r="C35" t="s">
        <v>400</v>
      </c>
      <c r="D35" t="s">
        <v>934</v>
      </c>
      <c r="E35" s="364">
        <v>-22730.686418000005</v>
      </c>
      <c r="F35" s="364">
        <v>-24730.957110000007</v>
      </c>
      <c r="G35" s="369">
        <v>-53330.055547000011</v>
      </c>
      <c r="H35" s="364">
        <v>-46031.919644000016</v>
      </c>
      <c r="I35" s="350">
        <f t="shared" si="0"/>
        <v>-146823.61871900005</v>
      </c>
      <c r="K35" s="66">
        <f t="shared" si="1"/>
        <v>0</v>
      </c>
      <c r="L35" s="66"/>
      <c r="M35" s="415">
        <v>29</v>
      </c>
      <c r="N35" s="415">
        <v>142</v>
      </c>
      <c r="O35" s="66" t="s">
        <v>400</v>
      </c>
      <c r="P35" t="s">
        <v>934</v>
      </c>
      <c r="Q35" s="364">
        <v>-46031.919644000016</v>
      </c>
      <c r="R35" t="s">
        <v>2580</v>
      </c>
      <c r="S35" s="250"/>
      <c r="T35" s="159">
        <f t="shared" si="10"/>
        <v>0</v>
      </c>
      <c r="U35" s="250"/>
      <c r="V35" s="415">
        <v>29</v>
      </c>
      <c r="W35" t="s">
        <v>400</v>
      </c>
      <c r="X35" t="s">
        <v>934</v>
      </c>
      <c r="Y35" s="364">
        <v>-40523.409775999986</v>
      </c>
      <c r="Z35" s="364">
        <v>-22730.686418000005</v>
      </c>
      <c r="AA35" s="369">
        <v>-24730.957110000007</v>
      </c>
      <c r="AB35" s="505">
        <v>-53330.055547000011</v>
      </c>
      <c r="AC35" s="350">
        <f t="shared" si="2"/>
        <v>-141315.10885100003</v>
      </c>
      <c r="AG35" s="159">
        <f t="shared" si="3"/>
        <v>0</v>
      </c>
      <c r="AI35" s="442" t="s">
        <v>400</v>
      </c>
      <c r="AJ35" t="s">
        <v>934</v>
      </c>
      <c r="AK35" s="364">
        <v>0</v>
      </c>
      <c r="AL35" s="364">
        <v>-22730.686418000005</v>
      </c>
      <c r="AM35" s="369">
        <v>-24730.957110000007</v>
      </c>
      <c r="AN35" s="505">
        <v>-53330.055547000011</v>
      </c>
      <c r="AO35" s="448">
        <v>-128897.68330399999</v>
      </c>
      <c r="AP35" s="448"/>
      <c r="AQ35" s="438"/>
      <c r="AR35" s="449">
        <f t="shared" si="4"/>
        <v>-100791.69907500003</v>
      </c>
      <c r="AS35" s="438"/>
      <c r="AT35" s="438"/>
      <c r="AU35" s="364">
        <v>-22730.686418000005</v>
      </c>
      <c r="AV35" s="369">
        <v>-24730.957110000007</v>
      </c>
      <c r="AW35" s="505">
        <v>-53330.055547000011</v>
      </c>
      <c r="AX35" s="452">
        <f t="shared" si="5"/>
        <v>-100791.69907500003</v>
      </c>
      <c r="AY35" s="250">
        <f t="shared" si="12"/>
        <v>0</v>
      </c>
      <c r="AZ35" s="439"/>
      <c r="BA35" s="582">
        <v>-46031.919644000016</v>
      </c>
      <c r="BB35" s="462">
        <f t="shared" si="7"/>
        <v>-146823.61871900005</v>
      </c>
      <c r="BC35" s="463">
        <f t="shared" si="8"/>
        <v>0</v>
      </c>
      <c r="BD35" s="431"/>
      <c r="BE35" s="435">
        <f t="shared" si="9"/>
        <v>0</v>
      </c>
    </row>
    <row r="36" spans="1:57" ht="15">
      <c r="A36" s="415">
        <v>30</v>
      </c>
      <c r="B36" s="415">
        <v>129</v>
      </c>
      <c r="C36" t="s">
        <v>380</v>
      </c>
      <c r="D36" t="s">
        <v>927</v>
      </c>
      <c r="E36" s="364">
        <v>0</v>
      </c>
      <c r="F36" s="364">
        <v>-625100.37693264801</v>
      </c>
      <c r="G36" s="369">
        <v>-476633.33335200045</v>
      </c>
      <c r="H36" s="364">
        <v>-535961.55875917338</v>
      </c>
      <c r="I36" s="350">
        <f t="shared" si="0"/>
        <v>-1637695.2690438218</v>
      </c>
      <c r="K36" s="66">
        <f t="shared" si="1"/>
        <v>0</v>
      </c>
      <c r="L36" s="66"/>
      <c r="M36" s="415">
        <v>30</v>
      </c>
      <c r="N36" s="415">
        <v>129</v>
      </c>
      <c r="O36" s="66" t="s">
        <v>380</v>
      </c>
      <c r="P36" t="s">
        <v>927</v>
      </c>
      <c r="Q36" s="364">
        <v>-535961.55875917338</v>
      </c>
      <c r="R36" t="s">
        <v>2580</v>
      </c>
      <c r="S36" s="250"/>
      <c r="T36" s="159">
        <f t="shared" si="10"/>
        <v>0</v>
      </c>
      <c r="U36" s="250"/>
      <c r="V36" s="415">
        <v>30</v>
      </c>
      <c r="W36" t="s">
        <v>380</v>
      </c>
      <c r="X36" t="s">
        <v>927</v>
      </c>
      <c r="Y36" s="364">
        <v>0</v>
      </c>
      <c r="Z36" s="364">
        <v>0</v>
      </c>
      <c r="AA36" s="369">
        <v>-625100.37693264801</v>
      </c>
      <c r="AB36" s="505">
        <v>-476633.33335200045</v>
      </c>
      <c r="AC36" s="350">
        <f t="shared" si="2"/>
        <v>-1101733.7102846485</v>
      </c>
      <c r="AG36" s="159">
        <f t="shared" si="3"/>
        <v>0</v>
      </c>
      <c r="AI36" s="442" t="s">
        <v>380</v>
      </c>
      <c r="AJ36" t="s">
        <v>927</v>
      </c>
      <c r="AK36" s="364">
        <v>0</v>
      </c>
      <c r="AL36" s="364">
        <v>0</v>
      </c>
      <c r="AM36" s="369">
        <v>-625100.37693264801</v>
      </c>
      <c r="AN36" s="505">
        <v>-476633.33335200045</v>
      </c>
      <c r="AO36" s="448">
        <v>-1556176.876932648</v>
      </c>
      <c r="AP36" s="448"/>
      <c r="AQ36" s="438"/>
      <c r="AR36" s="449">
        <f t="shared" si="4"/>
        <v>-1101733.7102846485</v>
      </c>
      <c r="AS36" s="438"/>
      <c r="AT36" s="438"/>
      <c r="AU36" s="364">
        <v>0</v>
      </c>
      <c r="AV36" s="369">
        <v>-625100.37693264801</v>
      </c>
      <c r="AW36" s="505">
        <v>-476633.33335200045</v>
      </c>
      <c r="AX36" s="452">
        <f t="shared" si="5"/>
        <v>-1101733.7102846485</v>
      </c>
      <c r="AY36" s="250">
        <f t="shared" si="12"/>
        <v>0</v>
      </c>
      <c r="AZ36" s="439"/>
      <c r="BA36" s="582">
        <v>-535961.55875917338</v>
      </c>
      <c r="BB36" s="462">
        <f t="shared" si="7"/>
        <v>-1637695.2690438218</v>
      </c>
      <c r="BC36" s="463">
        <f t="shared" si="8"/>
        <v>0</v>
      </c>
      <c r="BD36" s="431"/>
      <c r="BE36" s="435">
        <f t="shared" si="9"/>
        <v>0</v>
      </c>
    </row>
    <row r="37" spans="1:57" ht="15">
      <c r="A37" s="415">
        <v>31</v>
      </c>
      <c r="B37" s="415">
        <v>250</v>
      </c>
      <c r="C37" t="s">
        <v>604</v>
      </c>
      <c r="D37" t="s">
        <v>1021</v>
      </c>
      <c r="E37" s="364">
        <v>-512179.25181511603</v>
      </c>
      <c r="F37" s="364">
        <v>-1622309.0394115387</v>
      </c>
      <c r="G37" s="369">
        <v>-1780807.6101549994</v>
      </c>
      <c r="H37" s="364">
        <v>-2010328.9729891149</v>
      </c>
      <c r="I37" s="350">
        <f t="shared" si="0"/>
        <v>-5925624.8743707687</v>
      </c>
      <c r="K37" s="66">
        <f t="shared" si="1"/>
        <v>0</v>
      </c>
      <c r="L37" s="66"/>
      <c r="M37" s="415">
        <v>31</v>
      </c>
      <c r="N37" s="415">
        <v>250</v>
      </c>
      <c r="O37" s="66" t="s">
        <v>604</v>
      </c>
      <c r="P37" t="s">
        <v>1021</v>
      </c>
      <c r="Q37" s="364">
        <v>-2010328.9729891149</v>
      </c>
      <c r="R37" t="s">
        <v>2580</v>
      </c>
      <c r="S37" s="250"/>
      <c r="T37" s="159">
        <f t="shared" si="10"/>
        <v>0</v>
      </c>
      <c r="U37" s="250"/>
      <c r="V37" s="415">
        <v>31</v>
      </c>
      <c r="W37" t="s">
        <v>604</v>
      </c>
      <c r="X37" t="s">
        <v>1021</v>
      </c>
      <c r="Y37" s="364">
        <v>-768268.2621469656</v>
      </c>
      <c r="Z37" s="364">
        <v>-512179.25181511603</v>
      </c>
      <c r="AA37" s="369">
        <v>-1622309.0394115387</v>
      </c>
      <c r="AB37" s="505">
        <v>-1780807.6101549994</v>
      </c>
      <c r="AC37" s="350">
        <f t="shared" si="2"/>
        <v>-4683564.1635286193</v>
      </c>
      <c r="AG37" s="159">
        <f t="shared" si="3"/>
        <v>0</v>
      </c>
      <c r="AI37" s="442" t="s">
        <v>604</v>
      </c>
      <c r="AJ37" t="s">
        <v>1021</v>
      </c>
      <c r="AK37" s="364">
        <v>0</v>
      </c>
      <c r="AL37" s="364">
        <v>-512179.25181511603</v>
      </c>
      <c r="AM37" s="369">
        <v>-1622309.0394115387</v>
      </c>
      <c r="AN37" s="505">
        <v>-1780807.6101549994</v>
      </c>
      <c r="AO37" s="448">
        <v>-4639251.5933736209</v>
      </c>
      <c r="AP37" s="448"/>
      <c r="AQ37" s="438"/>
      <c r="AR37" s="449">
        <f t="shared" si="4"/>
        <v>-3915295.9013816542</v>
      </c>
      <c r="AS37" s="438"/>
      <c r="AT37" s="438"/>
      <c r="AU37" s="364">
        <v>-512179.25181511603</v>
      </c>
      <c r="AV37" s="369">
        <v>-1622309.0394115387</v>
      </c>
      <c r="AW37" s="505">
        <v>-1780807.6101549994</v>
      </c>
      <c r="AX37" s="452">
        <f t="shared" si="5"/>
        <v>-3915295.9013816542</v>
      </c>
      <c r="AY37" s="250">
        <f t="shared" si="12"/>
        <v>0</v>
      </c>
      <c r="AZ37" s="439"/>
      <c r="BA37" s="582">
        <v>-2010328.9729891149</v>
      </c>
      <c r="BB37" s="462">
        <f t="shared" si="7"/>
        <v>-5925624.8743707687</v>
      </c>
      <c r="BC37" s="463">
        <f t="shared" si="8"/>
        <v>0</v>
      </c>
      <c r="BD37" s="431"/>
      <c r="BE37" s="435">
        <f t="shared" si="9"/>
        <v>0</v>
      </c>
    </row>
    <row r="38" spans="1:57" ht="15">
      <c r="A38" s="415">
        <v>32</v>
      </c>
      <c r="B38" s="415">
        <v>162</v>
      </c>
      <c r="C38" t="s">
        <v>440</v>
      </c>
      <c r="D38" t="s">
        <v>950</v>
      </c>
      <c r="E38" s="364">
        <v>-380414.14929200034</v>
      </c>
      <c r="F38" s="364">
        <v>-86713.760662000335</v>
      </c>
      <c r="G38" s="369">
        <v>-1633.4222079999745</v>
      </c>
      <c r="H38" s="364">
        <v>-153861.65282400046</v>
      </c>
      <c r="I38" s="350">
        <f t="shared" si="0"/>
        <v>-622622.98498600116</v>
      </c>
      <c r="K38" s="66">
        <f t="shared" si="1"/>
        <v>0</v>
      </c>
      <c r="L38" s="66"/>
      <c r="M38" s="415">
        <v>32</v>
      </c>
      <c r="N38" s="415">
        <v>162</v>
      </c>
      <c r="O38" s="66" t="s">
        <v>440</v>
      </c>
      <c r="P38" t="s">
        <v>950</v>
      </c>
      <c r="Q38" s="364">
        <v>-153861.65282400046</v>
      </c>
      <c r="R38" t="s">
        <v>2580</v>
      </c>
      <c r="S38" s="250"/>
      <c r="T38" s="159">
        <f t="shared" si="10"/>
        <v>0</v>
      </c>
      <c r="U38" s="250"/>
      <c r="V38" s="415">
        <v>32</v>
      </c>
      <c r="W38" t="s">
        <v>440</v>
      </c>
      <c r="X38" t="s">
        <v>950</v>
      </c>
      <c r="Y38" s="364">
        <v>-84571.894191999891</v>
      </c>
      <c r="Z38" s="364">
        <v>-380414.14929200034</v>
      </c>
      <c r="AA38" s="369">
        <v>-86713.760662000335</v>
      </c>
      <c r="AB38" s="505">
        <v>-1633.4222079999745</v>
      </c>
      <c r="AC38" s="350">
        <f t="shared" si="2"/>
        <v>-553333.22635400062</v>
      </c>
      <c r="AG38" s="159">
        <f t="shared" si="3"/>
        <v>0</v>
      </c>
      <c r="AI38" s="442" t="s">
        <v>440</v>
      </c>
      <c r="AJ38" t="s">
        <v>950</v>
      </c>
      <c r="AK38" s="364">
        <v>0</v>
      </c>
      <c r="AL38" s="364">
        <v>-380414.14929200034</v>
      </c>
      <c r="AM38" s="369">
        <v>-86713.760662000335</v>
      </c>
      <c r="AN38" s="505">
        <v>-1633.4222079999745</v>
      </c>
      <c r="AO38" s="448">
        <v>-929034.11414600047</v>
      </c>
      <c r="AP38" s="448"/>
      <c r="AQ38" s="438"/>
      <c r="AR38" s="449">
        <f t="shared" si="4"/>
        <v>-468761.33216200065</v>
      </c>
      <c r="AS38" s="438"/>
      <c r="AT38" s="438"/>
      <c r="AU38" s="364">
        <v>-380414.14929200034</v>
      </c>
      <c r="AV38" s="369">
        <v>-86713.760662000335</v>
      </c>
      <c r="AW38" s="505">
        <v>-1633.4222079999745</v>
      </c>
      <c r="AX38" s="452">
        <f t="shared" si="5"/>
        <v>-468761.33216200065</v>
      </c>
      <c r="AY38" s="250">
        <f t="shared" si="12"/>
        <v>0</v>
      </c>
      <c r="AZ38" s="439"/>
      <c r="BA38" s="582">
        <v>-153861.65282400046</v>
      </c>
      <c r="BB38" s="462">
        <f t="shared" si="7"/>
        <v>-622622.98498600116</v>
      </c>
      <c r="BC38" s="463">
        <f t="shared" si="8"/>
        <v>0</v>
      </c>
      <c r="BD38" s="431"/>
      <c r="BE38" s="435">
        <f t="shared" si="9"/>
        <v>0</v>
      </c>
    </row>
    <row r="39" spans="1:57" ht="15">
      <c r="A39" s="415">
        <v>33</v>
      </c>
      <c r="B39" s="415">
        <v>160</v>
      </c>
      <c r="C39" t="s">
        <v>436</v>
      </c>
      <c r="D39" t="s">
        <v>948</v>
      </c>
      <c r="E39" s="364">
        <v>0</v>
      </c>
      <c r="F39" s="364">
        <v>-40433.247279999923</v>
      </c>
      <c r="G39" s="369">
        <v>-70120.824408999877</v>
      </c>
      <c r="H39" s="364">
        <v>-168180.85031799995</v>
      </c>
      <c r="I39" s="350">
        <f t="shared" si="0"/>
        <v>-278734.92200699972</v>
      </c>
      <c r="K39" s="66">
        <f t="shared" si="1"/>
        <v>0</v>
      </c>
      <c r="L39" s="66"/>
      <c r="M39" s="415">
        <v>33</v>
      </c>
      <c r="N39" s="415">
        <v>160</v>
      </c>
      <c r="O39" s="66" t="s">
        <v>436</v>
      </c>
      <c r="P39" t="s">
        <v>948</v>
      </c>
      <c r="Q39" s="364">
        <v>-168180.85031799995</v>
      </c>
      <c r="R39" t="s">
        <v>2580</v>
      </c>
      <c r="S39" s="250"/>
      <c r="T39" s="159">
        <f t="shared" si="10"/>
        <v>0</v>
      </c>
      <c r="U39" s="250"/>
      <c r="V39" s="415">
        <v>33</v>
      </c>
      <c r="W39" t="s">
        <v>436</v>
      </c>
      <c r="X39" t="s">
        <v>948</v>
      </c>
      <c r="Y39" s="364">
        <v>-9375.60752399989</v>
      </c>
      <c r="Z39" s="364">
        <v>0</v>
      </c>
      <c r="AA39" s="369">
        <v>-40433.247279999923</v>
      </c>
      <c r="AB39" s="505">
        <v>-70120.824408999877</v>
      </c>
      <c r="AC39" s="350">
        <f t="shared" ref="AC39:AC70" si="13">SUM(Y39:AB39)</f>
        <v>-119929.67921299969</v>
      </c>
      <c r="AG39" s="159">
        <f t="shared" ref="AG39:AG70" si="14">+AI39-W39</f>
        <v>0</v>
      </c>
      <c r="AI39" s="442" t="s">
        <v>436</v>
      </c>
      <c r="AJ39" t="s">
        <v>948</v>
      </c>
      <c r="AK39" s="364">
        <v>0</v>
      </c>
      <c r="AL39" s="364">
        <v>0</v>
      </c>
      <c r="AM39" s="369">
        <v>-40433.247279999923</v>
      </c>
      <c r="AN39" s="505">
        <v>-70120.824408999877</v>
      </c>
      <c r="AO39" s="448">
        <v>-267296.74480399978</v>
      </c>
      <c r="AP39" s="448"/>
      <c r="AQ39" s="438"/>
      <c r="AR39" s="449">
        <f t="shared" ref="AR39:AR70" si="15">SUM(AL39:AN39)</f>
        <v>-110554.0716889998</v>
      </c>
      <c r="AS39" s="438"/>
      <c r="AT39" s="438"/>
      <c r="AU39" s="364">
        <v>0</v>
      </c>
      <c r="AV39" s="369">
        <v>-40433.247279999923</v>
      </c>
      <c r="AW39" s="505">
        <v>-70120.824408999877</v>
      </c>
      <c r="AX39" s="452">
        <f t="shared" si="5"/>
        <v>-110554.0716889998</v>
      </c>
      <c r="AY39" s="250">
        <f t="shared" si="12"/>
        <v>0</v>
      </c>
      <c r="AZ39" s="439"/>
      <c r="BA39" s="582">
        <v>-168180.85031799995</v>
      </c>
      <c r="BB39" s="462">
        <f t="shared" si="7"/>
        <v>-278734.92200699972</v>
      </c>
      <c r="BC39" s="463">
        <f t="shared" ref="BC39:BC70" si="16">+BB39-I39</f>
        <v>0</v>
      </c>
      <c r="BD39" s="431"/>
      <c r="BE39" s="435">
        <f t="shared" ref="BE39:BE70" si="17">+O39-C39</f>
        <v>0</v>
      </c>
    </row>
    <row r="40" spans="1:57" ht="15">
      <c r="A40" s="415">
        <v>34</v>
      </c>
      <c r="B40" s="415">
        <v>252</v>
      </c>
      <c r="C40" t="s">
        <v>608</v>
      </c>
      <c r="D40" t="s">
        <v>1023</v>
      </c>
      <c r="E40" s="364">
        <v>-14194.510954023339</v>
      </c>
      <c r="F40" s="364">
        <v>-547470.411867243</v>
      </c>
      <c r="G40" s="369">
        <v>-1138589.7474610009</v>
      </c>
      <c r="H40" s="364">
        <v>-1266481.9653739994</v>
      </c>
      <c r="I40" s="350">
        <f t="shared" si="0"/>
        <v>-2966736.6356562665</v>
      </c>
      <c r="K40" s="66">
        <f t="shared" si="1"/>
        <v>0</v>
      </c>
      <c r="L40" s="66"/>
      <c r="M40" s="415">
        <v>34</v>
      </c>
      <c r="N40" s="415">
        <v>252</v>
      </c>
      <c r="O40" s="66" t="s">
        <v>608</v>
      </c>
      <c r="P40" t="s">
        <v>1023</v>
      </c>
      <c r="Q40" s="364">
        <v>-1266481.9653739994</v>
      </c>
      <c r="R40" t="s">
        <v>2580</v>
      </c>
      <c r="S40" s="250"/>
      <c r="T40" s="159">
        <f t="shared" si="10"/>
        <v>0</v>
      </c>
      <c r="U40" s="250"/>
      <c r="V40" s="415">
        <v>34</v>
      </c>
      <c r="W40" t="s">
        <v>608</v>
      </c>
      <c r="X40" t="s">
        <v>1023</v>
      </c>
      <c r="Y40" s="364">
        <v>-709933.112035</v>
      </c>
      <c r="Z40" s="364">
        <v>-14194.510954023339</v>
      </c>
      <c r="AA40" s="369">
        <v>-547470.411867243</v>
      </c>
      <c r="AB40" s="505">
        <v>-1138589.7474610009</v>
      </c>
      <c r="AC40" s="350">
        <f t="shared" si="13"/>
        <v>-2410187.7823172673</v>
      </c>
      <c r="AG40" s="159">
        <f t="shared" si="14"/>
        <v>0</v>
      </c>
      <c r="AI40" s="442" t="s">
        <v>608</v>
      </c>
      <c r="AJ40" t="s">
        <v>1023</v>
      </c>
      <c r="AK40" s="364">
        <v>0</v>
      </c>
      <c r="AL40" s="364">
        <v>-14194.510954023339</v>
      </c>
      <c r="AM40" s="369">
        <v>-547470.411867243</v>
      </c>
      <c r="AN40" s="505">
        <v>-1138589.7474610009</v>
      </c>
      <c r="AO40" s="448">
        <v>-1914806.2348562663</v>
      </c>
      <c r="AP40" s="448"/>
      <c r="AQ40" s="438"/>
      <c r="AR40" s="449">
        <f t="shared" si="15"/>
        <v>-1700254.6702822673</v>
      </c>
      <c r="AS40" s="438"/>
      <c r="AT40" s="438"/>
      <c r="AU40" s="364">
        <v>-14194.510954023339</v>
      </c>
      <c r="AV40" s="369">
        <v>-547470.411867243</v>
      </c>
      <c r="AW40" s="505">
        <v>-1138589.7474610009</v>
      </c>
      <c r="AX40" s="452">
        <f t="shared" si="5"/>
        <v>-1700254.6702822673</v>
      </c>
      <c r="AY40" s="250">
        <f t="shared" si="12"/>
        <v>0</v>
      </c>
      <c r="AZ40" s="439"/>
      <c r="BA40" s="582">
        <v>-1266481.9653739994</v>
      </c>
      <c r="BB40" s="462">
        <f t="shared" si="7"/>
        <v>-2966736.6356562665</v>
      </c>
      <c r="BC40" s="463">
        <f t="shared" si="16"/>
        <v>0</v>
      </c>
      <c r="BD40" s="431"/>
      <c r="BE40" s="435">
        <f t="shared" si="17"/>
        <v>0</v>
      </c>
    </row>
    <row r="41" spans="1:57" ht="15">
      <c r="A41" s="415">
        <v>35</v>
      </c>
      <c r="B41" s="415">
        <v>263</v>
      </c>
      <c r="C41" t="s">
        <v>620</v>
      </c>
      <c r="D41" t="s">
        <v>1028</v>
      </c>
      <c r="E41" s="364">
        <v>-16929.178593769262</v>
      </c>
      <c r="F41" s="364">
        <v>-19203.389098937558</v>
      </c>
      <c r="G41" s="369">
        <v>-18209.014024000091</v>
      </c>
      <c r="H41" s="364">
        <v>-128348.4833640001</v>
      </c>
      <c r="I41" s="350">
        <f t="shared" si="0"/>
        <v>-182690.06508070702</v>
      </c>
      <c r="K41" s="66">
        <f t="shared" si="1"/>
        <v>0</v>
      </c>
      <c r="L41" s="66"/>
      <c r="M41" s="415">
        <v>35</v>
      </c>
      <c r="N41" s="415">
        <v>263</v>
      </c>
      <c r="O41" s="66" t="s">
        <v>620</v>
      </c>
      <c r="P41" t="s">
        <v>1028</v>
      </c>
      <c r="Q41" s="364">
        <v>-128348.4833640001</v>
      </c>
      <c r="R41" t="s">
        <v>2580</v>
      </c>
      <c r="S41" s="250"/>
      <c r="T41" s="159">
        <f t="shared" si="10"/>
        <v>0</v>
      </c>
      <c r="U41" s="250"/>
      <c r="V41" s="415">
        <v>35</v>
      </c>
      <c r="W41" t="s">
        <v>620</v>
      </c>
      <c r="X41" t="s">
        <v>1028</v>
      </c>
      <c r="Y41" s="364">
        <v>-20405.357927999979</v>
      </c>
      <c r="Z41" s="364">
        <v>-16929.178593769262</v>
      </c>
      <c r="AA41" s="369">
        <v>-19203.389098937558</v>
      </c>
      <c r="AB41" s="505">
        <v>-18209.014024000091</v>
      </c>
      <c r="AC41" s="350">
        <f t="shared" si="13"/>
        <v>-74746.939644706901</v>
      </c>
      <c r="AG41" s="159">
        <f t="shared" si="14"/>
        <v>0</v>
      </c>
      <c r="AI41" s="442" t="s">
        <v>620</v>
      </c>
      <c r="AJ41" t="s">
        <v>1028</v>
      </c>
      <c r="AK41" s="364">
        <v>0</v>
      </c>
      <c r="AL41" s="364">
        <v>-16929.178593769262</v>
      </c>
      <c r="AM41" s="369">
        <v>-19203.389098937558</v>
      </c>
      <c r="AN41" s="505">
        <v>-18209.014024000091</v>
      </c>
      <c r="AO41" s="448">
        <v>-61007.585620706799</v>
      </c>
      <c r="AP41" s="448"/>
      <c r="AQ41" s="438"/>
      <c r="AR41" s="449">
        <f t="shared" si="15"/>
        <v>-54341.581716706911</v>
      </c>
      <c r="AS41" s="438"/>
      <c r="AT41" s="438"/>
      <c r="AU41" s="364">
        <v>-16929.178593769262</v>
      </c>
      <c r="AV41" s="369">
        <v>-19203.389098937558</v>
      </c>
      <c r="AW41" s="505">
        <v>-18209.014024000091</v>
      </c>
      <c r="AX41" s="452">
        <f t="shared" si="5"/>
        <v>-54341.581716706911</v>
      </c>
      <c r="AY41" s="250">
        <f t="shared" si="12"/>
        <v>0</v>
      </c>
      <c r="AZ41" s="439"/>
      <c r="BA41" s="582">
        <v>-128348.4833640001</v>
      </c>
      <c r="BB41" s="462">
        <f t="shared" si="7"/>
        <v>-182690.06508070702</v>
      </c>
      <c r="BC41" s="463">
        <f t="shared" si="16"/>
        <v>0</v>
      </c>
      <c r="BD41" s="431"/>
      <c r="BE41" s="435">
        <f t="shared" si="17"/>
        <v>0</v>
      </c>
    </row>
    <row r="42" spans="1:57" ht="15">
      <c r="A42" s="415">
        <v>36</v>
      </c>
      <c r="B42" s="415">
        <v>211</v>
      </c>
      <c r="C42" s="341" t="s">
        <v>1508</v>
      </c>
      <c r="D42" s="342" t="s">
        <v>1548</v>
      </c>
      <c r="E42" s="371"/>
      <c r="F42" s="365">
        <v>-28700.056000000041</v>
      </c>
      <c r="G42" s="369">
        <v>-63349.340360000147</v>
      </c>
      <c r="H42" s="364">
        <v>-49028.965785000008</v>
      </c>
      <c r="I42" s="350">
        <f t="shared" si="0"/>
        <v>-141078.3621450002</v>
      </c>
      <c r="K42" s="66">
        <f t="shared" si="1"/>
        <v>0</v>
      </c>
      <c r="L42" s="66"/>
      <c r="M42" s="415">
        <v>36</v>
      </c>
      <c r="N42" s="415">
        <v>211</v>
      </c>
      <c r="O42" s="66" t="s">
        <v>1508</v>
      </c>
      <c r="P42" s="342" t="s">
        <v>1548</v>
      </c>
      <c r="Q42" s="364">
        <v>-49028.965785000008</v>
      </c>
      <c r="R42" t="s">
        <v>2580</v>
      </c>
      <c r="S42" s="250"/>
      <c r="T42" s="159">
        <f t="shared" si="10"/>
        <v>0</v>
      </c>
      <c r="U42" s="250"/>
      <c r="V42" s="415">
        <v>36</v>
      </c>
      <c r="W42" s="341" t="s">
        <v>1508</v>
      </c>
      <c r="X42" s="342" t="s">
        <v>1548</v>
      </c>
      <c r="Y42" s="371">
        <v>0</v>
      </c>
      <c r="Z42" s="365"/>
      <c r="AA42" s="369">
        <v>-28700.056000000041</v>
      </c>
      <c r="AB42" s="505">
        <v>-63349.340360000147</v>
      </c>
      <c r="AC42" s="350">
        <f t="shared" si="13"/>
        <v>-92049.396360000188</v>
      </c>
      <c r="AG42" s="159">
        <f t="shared" si="14"/>
        <v>0</v>
      </c>
      <c r="AI42" s="442" t="s">
        <v>1508</v>
      </c>
      <c r="AJ42" s="342" t="s">
        <v>1548</v>
      </c>
      <c r="AK42" s="364">
        <v>0</v>
      </c>
      <c r="AL42" s="365"/>
      <c r="AM42" s="369">
        <v>-28700.056000000041</v>
      </c>
      <c r="AN42" s="505">
        <v>-63349.340360000147</v>
      </c>
      <c r="AO42" s="448">
        <v>-28700.056000000041</v>
      </c>
      <c r="AP42" s="448"/>
      <c r="AQ42" s="438"/>
      <c r="AR42" s="449">
        <f t="shared" si="15"/>
        <v>-92049.396360000188</v>
      </c>
      <c r="AS42" s="438"/>
      <c r="AT42" s="438"/>
      <c r="AU42" s="365"/>
      <c r="AV42" s="369">
        <v>-28700.056000000041</v>
      </c>
      <c r="AW42" s="505">
        <v>-63349.340360000147</v>
      </c>
      <c r="AX42" s="452">
        <f t="shared" si="5"/>
        <v>-92049.396360000188</v>
      </c>
      <c r="AY42" s="250">
        <f t="shared" si="12"/>
        <v>0</v>
      </c>
      <c r="AZ42" s="439"/>
      <c r="BA42" s="582">
        <v>-49028.965785000008</v>
      </c>
      <c r="BB42" s="462">
        <f t="shared" si="7"/>
        <v>-141078.3621450002</v>
      </c>
      <c r="BC42" s="463">
        <f t="shared" si="16"/>
        <v>0</v>
      </c>
      <c r="BD42" s="431"/>
      <c r="BE42" s="435">
        <f t="shared" si="17"/>
        <v>0</v>
      </c>
    </row>
    <row r="43" spans="1:57" ht="15">
      <c r="A43" s="415">
        <v>37</v>
      </c>
      <c r="B43" s="415">
        <v>95</v>
      </c>
      <c r="C43" t="s">
        <v>334</v>
      </c>
      <c r="D43" t="s">
        <v>904</v>
      </c>
      <c r="E43" s="364">
        <v>-229921.42109599995</v>
      </c>
      <c r="F43" s="364">
        <v>-212373.66748800001</v>
      </c>
      <c r="G43" s="369">
        <v>-263113.05031999992</v>
      </c>
      <c r="H43" s="364">
        <v>-369063.19081300002</v>
      </c>
      <c r="I43" s="350">
        <f t="shared" si="0"/>
        <v>-1074471.329717</v>
      </c>
      <c r="K43" s="66">
        <f t="shared" si="1"/>
        <v>0</v>
      </c>
      <c r="L43" s="66"/>
      <c r="M43" s="415">
        <v>37</v>
      </c>
      <c r="N43" s="415">
        <v>95</v>
      </c>
      <c r="O43" s="66" t="s">
        <v>334</v>
      </c>
      <c r="P43" t="s">
        <v>904</v>
      </c>
      <c r="Q43" s="364">
        <v>-369063.19081300002</v>
      </c>
      <c r="R43" t="s">
        <v>2580</v>
      </c>
      <c r="S43" s="250"/>
      <c r="T43" s="159">
        <f t="shared" si="10"/>
        <v>0</v>
      </c>
      <c r="U43" s="250"/>
      <c r="V43" s="415">
        <v>37</v>
      </c>
      <c r="W43" t="s">
        <v>334</v>
      </c>
      <c r="X43" t="s">
        <v>904</v>
      </c>
      <c r="Y43" s="364">
        <v>-285151.61338900006</v>
      </c>
      <c r="Z43" s="364">
        <v>-229921.42109599995</v>
      </c>
      <c r="AA43" s="369">
        <v>-212373.66748800001</v>
      </c>
      <c r="AB43" s="505">
        <v>-263113.05031999992</v>
      </c>
      <c r="AC43" s="350">
        <f t="shared" si="13"/>
        <v>-990559.752293</v>
      </c>
      <c r="AG43" s="159">
        <f t="shared" si="14"/>
        <v>0</v>
      </c>
      <c r="AI43" s="442" t="s">
        <v>334</v>
      </c>
      <c r="AJ43" t="s">
        <v>904</v>
      </c>
      <c r="AK43" s="364">
        <v>0</v>
      </c>
      <c r="AL43" s="364">
        <v>-229921.42109599995</v>
      </c>
      <c r="AM43" s="369">
        <v>-212373.66748800001</v>
      </c>
      <c r="AN43" s="505">
        <v>-263113.05031999992</v>
      </c>
      <c r="AO43" s="448">
        <v>-946600.18197299994</v>
      </c>
      <c r="AP43" s="448"/>
      <c r="AQ43" s="438"/>
      <c r="AR43" s="449">
        <f t="shared" si="15"/>
        <v>-705408.13890399993</v>
      </c>
      <c r="AS43" s="438"/>
      <c r="AT43" s="438"/>
      <c r="AU43" s="364">
        <v>-229921.42109599995</v>
      </c>
      <c r="AV43" s="369">
        <v>-212373.66748800001</v>
      </c>
      <c r="AW43" s="505">
        <v>-263113.05031999992</v>
      </c>
      <c r="AX43" s="452">
        <f t="shared" si="5"/>
        <v>-705408.13890399993</v>
      </c>
      <c r="AY43" s="250">
        <f t="shared" si="12"/>
        <v>0</v>
      </c>
      <c r="AZ43" s="439"/>
      <c r="BA43" s="582">
        <v>-369063.19081300002</v>
      </c>
      <c r="BB43" s="462">
        <f t="shared" si="7"/>
        <v>-1074471.329717</v>
      </c>
      <c r="BC43" s="463">
        <f t="shared" si="16"/>
        <v>0</v>
      </c>
      <c r="BD43" s="431"/>
      <c r="BE43" s="435">
        <f t="shared" si="17"/>
        <v>0</v>
      </c>
    </row>
    <row r="44" spans="1:57" ht="15">
      <c r="A44" s="415">
        <v>38</v>
      </c>
      <c r="B44" s="415">
        <v>6</v>
      </c>
      <c r="C44" t="s">
        <v>173</v>
      </c>
      <c r="D44" t="s">
        <v>832</v>
      </c>
      <c r="E44" s="364">
        <v>0</v>
      </c>
      <c r="F44" s="364">
        <v>-83545.67927531607</v>
      </c>
      <c r="G44" s="369">
        <v>-251607.10436</v>
      </c>
      <c r="H44" s="364">
        <v>-315093.39170263964</v>
      </c>
      <c r="I44" s="350">
        <f t="shared" si="0"/>
        <v>-650246.1753379557</v>
      </c>
      <c r="K44" s="66">
        <f t="shared" si="1"/>
        <v>0</v>
      </c>
      <c r="L44" s="66"/>
      <c r="M44" s="415">
        <v>38</v>
      </c>
      <c r="N44" s="415">
        <v>6</v>
      </c>
      <c r="O44" s="66" t="s">
        <v>173</v>
      </c>
      <c r="P44" t="s">
        <v>832</v>
      </c>
      <c r="Q44" s="364">
        <v>-315093.39170263964</v>
      </c>
      <c r="R44" t="s">
        <v>2580</v>
      </c>
      <c r="S44" s="250"/>
      <c r="T44" s="159">
        <f t="shared" si="10"/>
        <v>0</v>
      </c>
      <c r="U44" s="250"/>
      <c r="V44" s="415">
        <v>38</v>
      </c>
      <c r="W44" t="s">
        <v>173</v>
      </c>
      <c r="X44" t="s">
        <v>832</v>
      </c>
      <c r="Y44" s="364">
        <v>-243992.40708726351</v>
      </c>
      <c r="Z44" s="364">
        <v>4300.6206054862123</v>
      </c>
      <c r="AA44" s="369">
        <v>-83545.67927531607</v>
      </c>
      <c r="AB44" s="505">
        <v>-251607.10436</v>
      </c>
      <c r="AC44" s="350">
        <f t="shared" si="13"/>
        <v>-574844.57011709339</v>
      </c>
      <c r="AG44" s="159">
        <f t="shared" si="14"/>
        <v>0</v>
      </c>
      <c r="AI44" s="442" t="s">
        <v>173</v>
      </c>
      <c r="AJ44" t="s">
        <v>832</v>
      </c>
      <c r="AK44" s="364">
        <v>0</v>
      </c>
      <c r="AL44" s="364">
        <v>0</v>
      </c>
      <c r="AM44" s="369">
        <v>-83545.67927531607</v>
      </c>
      <c r="AN44" s="505">
        <v>-251607.10436</v>
      </c>
      <c r="AO44" s="581">
        <f>SUM(AK44:AN44)</f>
        <v>-335152.78363531607</v>
      </c>
      <c r="AP44" s="448"/>
      <c r="AQ44" s="438"/>
      <c r="AR44" s="449">
        <f t="shared" si="15"/>
        <v>-335152.78363531607</v>
      </c>
      <c r="AS44" s="438"/>
      <c r="AT44" s="438"/>
      <c r="AU44" s="364">
        <v>0</v>
      </c>
      <c r="AV44" s="369">
        <v>-83545.67927531607</v>
      </c>
      <c r="AW44" s="505">
        <v>-251607.10436</v>
      </c>
      <c r="AX44" s="452">
        <f t="shared" si="5"/>
        <v>-335152.78363531607</v>
      </c>
      <c r="AY44" s="250">
        <f t="shared" si="12"/>
        <v>0</v>
      </c>
      <c r="AZ44" s="439"/>
      <c r="BA44" s="582">
        <v>-315093.39170263964</v>
      </c>
      <c r="BB44" s="462">
        <f t="shared" si="7"/>
        <v>-650246.1753379557</v>
      </c>
      <c r="BC44" s="463">
        <f t="shared" si="16"/>
        <v>0</v>
      </c>
      <c r="BD44" s="431"/>
      <c r="BE44" s="435">
        <f t="shared" si="17"/>
        <v>0</v>
      </c>
    </row>
    <row r="45" spans="1:57" ht="15">
      <c r="A45" s="415">
        <v>39</v>
      </c>
      <c r="B45" s="415">
        <v>139</v>
      </c>
      <c r="C45" t="s">
        <v>394</v>
      </c>
      <c r="D45" t="s">
        <v>395</v>
      </c>
      <c r="E45" s="364">
        <v>-27429.351870000013</v>
      </c>
      <c r="F45" s="364">
        <v>-153057.95072012651</v>
      </c>
      <c r="G45" s="369">
        <v>-154077.69143000009</v>
      </c>
      <c r="H45" s="364">
        <v>-191668.16048727557</v>
      </c>
      <c r="I45" s="350">
        <f t="shared" si="0"/>
        <v>-526233.15450740221</v>
      </c>
      <c r="K45" s="66">
        <f t="shared" si="1"/>
        <v>0</v>
      </c>
      <c r="L45" s="66"/>
      <c r="M45" s="415">
        <v>39</v>
      </c>
      <c r="N45" s="415">
        <v>139</v>
      </c>
      <c r="O45" s="66" t="s">
        <v>394</v>
      </c>
      <c r="P45" t="s">
        <v>395</v>
      </c>
      <c r="Q45" s="364">
        <v>-191668.16048727557</v>
      </c>
      <c r="R45" t="s">
        <v>2580</v>
      </c>
      <c r="S45" s="250"/>
      <c r="T45" s="159">
        <f t="shared" si="10"/>
        <v>0</v>
      </c>
      <c r="U45" s="250"/>
      <c r="V45" s="415">
        <v>39</v>
      </c>
      <c r="W45" t="s">
        <v>394</v>
      </c>
      <c r="X45" t="s">
        <v>395</v>
      </c>
      <c r="Y45" s="364">
        <v>-157286.72141</v>
      </c>
      <c r="Z45" s="364">
        <v>-27429.351870000013</v>
      </c>
      <c r="AA45" s="369">
        <v>-153057.95072012651</v>
      </c>
      <c r="AB45" s="505">
        <v>-154077.69143000009</v>
      </c>
      <c r="AC45" s="350">
        <f t="shared" si="13"/>
        <v>-491851.71543012664</v>
      </c>
      <c r="AG45" s="159">
        <f t="shared" si="14"/>
        <v>0</v>
      </c>
      <c r="AI45" s="442" t="s">
        <v>394</v>
      </c>
      <c r="AJ45" t="s">
        <v>395</v>
      </c>
      <c r="AK45" s="364">
        <v>0</v>
      </c>
      <c r="AL45" s="364">
        <v>-27429.351870000013</v>
      </c>
      <c r="AM45" s="369">
        <v>-153057.95072012651</v>
      </c>
      <c r="AN45" s="505">
        <v>-154077.69143000009</v>
      </c>
      <c r="AO45" s="448">
        <v>-458918.20400012651</v>
      </c>
      <c r="AP45" s="448"/>
      <c r="AQ45" s="438"/>
      <c r="AR45" s="449">
        <f t="shared" si="15"/>
        <v>-334564.99402012664</v>
      </c>
      <c r="AS45" s="438"/>
      <c r="AT45" s="438"/>
      <c r="AU45" s="364">
        <v>-27429.351870000013</v>
      </c>
      <c r="AV45" s="369">
        <v>-153057.95072012651</v>
      </c>
      <c r="AW45" s="505">
        <v>-154077.69143000009</v>
      </c>
      <c r="AX45" s="452">
        <f t="shared" si="5"/>
        <v>-334564.99402012664</v>
      </c>
      <c r="AY45" s="250">
        <f t="shared" si="12"/>
        <v>0</v>
      </c>
      <c r="AZ45" s="439"/>
      <c r="BA45" s="582">
        <v>-191668.16048727557</v>
      </c>
      <c r="BB45" s="462">
        <f t="shared" si="7"/>
        <v>-526233.15450740221</v>
      </c>
      <c r="BC45" s="463">
        <f t="shared" si="16"/>
        <v>0</v>
      </c>
      <c r="BD45" s="431"/>
      <c r="BE45" s="435">
        <f t="shared" si="17"/>
        <v>0</v>
      </c>
    </row>
    <row r="46" spans="1:57" ht="15" customHeight="1">
      <c r="A46" s="415">
        <v>40</v>
      </c>
      <c r="B46" s="415">
        <v>204</v>
      </c>
      <c r="C46" t="s">
        <v>521</v>
      </c>
      <c r="D46" t="s">
        <v>990</v>
      </c>
      <c r="E46" s="364">
        <v>0</v>
      </c>
      <c r="F46" s="364">
        <v>-423141.62518108077</v>
      </c>
      <c r="G46" s="369">
        <v>-509085.7484179996</v>
      </c>
      <c r="H46" s="364">
        <v>-1246028.40577944</v>
      </c>
      <c r="I46" s="350">
        <f t="shared" si="0"/>
        <v>-2178255.7793785203</v>
      </c>
      <c r="K46" s="66">
        <f t="shared" si="1"/>
        <v>0</v>
      </c>
      <c r="L46" s="66"/>
      <c r="M46" s="415">
        <v>40</v>
      </c>
      <c r="N46" s="415">
        <v>204</v>
      </c>
      <c r="O46" s="66" t="s">
        <v>521</v>
      </c>
      <c r="P46" t="s">
        <v>990</v>
      </c>
      <c r="Q46" s="364">
        <v>-1246028.40577944</v>
      </c>
      <c r="R46" t="s">
        <v>2580</v>
      </c>
      <c r="S46" s="250"/>
      <c r="T46" s="159">
        <f t="shared" si="10"/>
        <v>0</v>
      </c>
      <c r="U46" s="250"/>
      <c r="V46" s="415">
        <v>40</v>
      </c>
      <c r="W46" t="s">
        <v>521</v>
      </c>
      <c r="X46" t="s">
        <v>990</v>
      </c>
      <c r="Y46" s="364">
        <v>-1161984.695860133</v>
      </c>
      <c r="Z46" s="364">
        <v>83208.641496433294</v>
      </c>
      <c r="AA46" s="369">
        <v>-423141.62518108077</v>
      </c>
      <c r="AB46" s="505">
        <v>-509085.7484179996</v>
      </c>
      <c r="AC46" s="350">
        <f t="shared" si="13"/>
        <v>-2011003.42796278</v>
      </c>
      <c r="AG46" s="159">
        <f t="shared" si="14"/>
        <v>0</v>
      </c>
      <c r="AI46" s="442" t="s">
        <v>521</v>
      </c>
      <c r="AJ46" t="s">
        <v>990</v>
      </c>
      <c r="AK46" s="364">
        <v>0</v>
      </c>
      <c r="AL46" s="364">
        <v>0</v>
      </c>
      <c r="AM46" s="369">
        <v>-423141.62518108077</v>
      </c>
      <c r="AN46" s="505">
        <v>-509085.7484179996</v>
      </c>
      <c r="AO46" s="581">
        <f>SUM(AK46:AN46)</f>
        <v>-932227.37359908037</v>
      </c>
      <c r="AP46" s="448"/>
      <c r="AQ46" s="438"/>
      <c r="AR46" s="449">
        <f t="shared" si="15"/>
        <v>-932227.37359908037</v>
      </c>
      <c r="AS46" s="438"/>
      <c r="AT46" s="438"/>
      <c r="AU46" s="364">
        <v>0</v>
      </c>
      <c r="AV46" s="369">
        <v>-423141.62518108077</v>
      </c>
      <c r="AW46" s="505">
        <v>-509085.7484179996</v>
      </c>
      <c r="AX46" s="452">
        <f t="shared" si="5"/>
        <v>-932227.37359908037</v>
      </c>
      <c r="AY46" s="250">
        <f t="shared" si="12"/>
        <v>0</v>
      </c>
      <c r="AZ46" s="439"/>
      <c r="BA46" s="582">
        <v>-1246028.40577944</v>
      </c>
      <c r="BB46" s="462">
        <f t="shared" si="7"/>
        <v>-2178255.7793785203</v>
      </c>
      <c r="BC46" s="463">
        <f t="shared" si="16"/>
        <v>0</v>
      </c>
      <c r="BD46" s="431"/>
      <c r="BE46" s="435">
        <f t="shared" si="17"/>
        <v>0</v>
      </c>
    </row>
    <row r="47" spans="1:57" ht="15">
      <c r="A47" s="415">
        <v>41</v>
      </c>
      <c r="B47" s="415">
        <v>305</v>
      </c>
      <c r="C47" t="s">
        <v>693</v>
      </c>
      <c r="D47" t="s">
        <v>1062</v>
      </c>
      <c r="E47" s="364">
        <v>0</v>
      </c>
      <c r="F47" s="364">
        <v>-46224.873648999957</v>
      </c>
      <c r="G47" s="369">
        <v>-126386.14013800002</v>
      </c>
      <c r="H47" s="364">
        <v>-87329.06011999998</v>
      </c>
      <c r="I47" s="350">
        <f t="shared" si="0"/>
        <v>-259940.07390699995</v>
      </c>
      <c r="K47" s="66">
        <f t="shared" si="1"/>
        <v>0</v>
      </c>
      <c r="L47" s="66"/>
      <c r="M47" s="415">
        <v>41</v>
      </c>
      <c r="N47" s="415">
        <v>305</v>
      </c>
      <c r="O47" s="66" t="s">
        <v>693</v>
      </c>
      <c r="P47" t="s">
        <v>1062</v>
      </c>
      <c r="Q47" s="364">
        <v>-87329.06011999998</v>
      </c>
      <c r="R47" t="s">
        <v>2580</v>
      </c>
      <c r="S47" s="250"/>
      <c r="T47" s="159">
        <f t="shared" si="10"/>
        <v>0</v>
      </c>
      <c r="U47" s="250"/>
      <c r="V47" s="415">
        <v>41</v>
      </c>
      <c r="W47" t="s">
        <v>693</v>
      </c>
      <c r="X47" t="s">
        <v>1062</v>
      </c>
      <c r="Y47" s="364">
        <v>-32255.719478000014</v>
      </c>
      <c r="Z47" s="364">
        <v>0</v>
      </c>
      <c r="AA47" s="369">
        <v>-46224.873648999957</v>
      </c>
      <c r="AB47" s="505">
        <v>-126386.14013800002</v>
      </c>
      <c r="AC47" s="350">
        <f t="shared" si="13"/>
        <v>-204866.73326499999</v>
      </c>
      <c r="AG47" s="159">
        <f t="shared" si="14"/>
        <v>0</v>
      </c>
      <c r="AI47" s="442" t="s">
        <v>693</v>
      </c>
      <c r="AJ47" t="s">
        <v>1062</v>
      </c>
      <c r="AK47" s="364">
        <v>0</v>
      </c>
      <c r="AL47" s="364">
        <v>0</v>
      </c>
      <c r="AM47" s="369">
        <v>-46224.873648999957</v>
      </c>
      <c r="AN47" s="505">
        <v>-126386.14013800002</v>
      </c>
      <c r="AO47" s="448">
        <v>-101392.17312699997</v>
      </c>
      <c r="AP47" s="448"/>
      <c r="AQ47" s="438"/>
      <c r="AR47" s="449">
        <f t="shared" si="15"/>
        <v>-172611.01378699997</v>
      </c>
      <c r="AS47" s="438"/>
      <c r="AT47" s="438"/>
      <c r="AU47" s="364">
        <v>0</v>
      </c>
      <c r="AV47" s="369">
        <v>-46224.873648999957</v>
      </c>
      <c r="AW47" s="505">
        <v>-126386.14013800002</v>
      </c>
      <c r="AX47" s="452">
        <f t="shared" si="5"/>
        <v>-172611.01378699997</v>
      </c>
      <c r="AY47" s="250">
        <f t="shared" si="12"/>
        <v>0</v>
      </c>
      <c r="AZ47" s="439"/>
      <c r="BA47" s="582">
        <v>-87329.06011999998</v>
      </c>
      <c r="BB47" s="462">
        <f t="shared" si="7"/>
        <v>-259940.07390699995</v>
      </c>
      <c r="BC47" s="463">
        <f t="shared" si="16"/>
        <v>0</v>
      </c>
      <c r="BD47" s="431"/>
      <c r="BE47" s="435">
        <f t="shared" si="17"/>
        <v>0</v>
      </c>
    </row>
    <row r="48" spans="1:57" ht="15">
      <c r="A48" s="415">
        <v>42</v>
      </c>
      <c r="B48" s="415">
        <v>287</v>
      </c>
      <c r="C48" t="s">
        <v>662</v>
      </c>
      <c r="D48" t="s">
        <v>1048</v>
      </c>
      <c r="E48" s="364">
        <v>-31512.722603999893</v>
      </c>
      <c r="F48" s="364">
        <v>-56983.848749999946</v>
      </c>
      <c r="G48" s="369">
        <v>-43070.714528000099</v>
      </c>
      <c r="H48" s="364">
        <v>-178075.59524499997</v>
      </c>
      <c r="I48" s="350">
        <f t="shared" si="0"/>
        <v>-309642.88112699991</v>
      </c>
      <c r="K48" s="66">
        <f t="shared" si="1"/>
        <v>0</v>
      </c>
      <c r="L48" s="66"/>
      <c r="M48" s="415">
        <v>42</v>
      </c>
      <c r="N48" s="415">
        <v>287</v>
      </c>
      <c r="O48" s="66" t="s">
        <v>662</v>
      </c>
      <c r="P48" t="s">
        <v>1048</v>
      </c>
      <c r="Q48" s="364">
        <v>-178075.59524499997</v>
      </c>
      <c r="R48" t="s">
        <v>2580</v>
      </c>
      <c r="S48" s="250"/>
      <c r="T48" s="159">
        <f t="shared" si="10"/>
        <v>0</v>
      </c>
      <c r="U48" s="250"/>
      <c r="V48" s="415">
        <v>42</v>
      </c>
      <c r="W48" t="s">
        <v>662</v>
      </c>
      <c r="X48" t="s">
        <v>1048</v>
      </c>
      <c r="Y48" s="364">
        <v>-20310.11281900006</v>
      </c>
      <c r="Z48" s="364">
        <v>-31512.722603999893</v>
      </c>
      <c r="AA48" s="369">
        <v>-56983.848749999946</v>
      </c>
      <c r="AB48" s="505">
        <v>-43070.714528000099</v>
      </c>
      <c r="AC48" s="350">
        <f t="shared" si="13"/>
        <v>-151877.398701</v>
      </c>
      <c r="AG48" s="159">
        <f t="shared" si="14"/>
        <v>0</v>
      </c>
      <c r="AI48" s="442" t="s">
        <v>662</v>
      </c>
      <c r="AJ48" t="s">
        <v>1048</v>
      </c>
      <c r="AK48" s="364">
        <v>0</v>
      </c>
      <c r="AL48" s="364">
        <v>-31512.722603999893</v>
      </c>
      <c r="AM48" s="369">
        <v>-56983.848749999946</v>
      </c>
      <c r="AN48" s="505">
        <v>-43070.714528000099</v>
      </c>
      <c r="AO48" s="448">
        <v>-292267.20417299989</v>
      </c>
      <c r="AP48" s="448"/>
      <c r="AQ48" s="438"/>
      <c r="AR48" s="449">
        <f t="shared" si="15"/>
        <v>-131567.28588199994</v>
      </c>
      <c r="AS48" s="438"/>
      <c r="AT48" s="438"/>
      <c r="AU48" s="364">
        <v>-31512.722603999893</v>
      </c>
      <c r="AV48" s="369">
        <v>-56983.848749999946</v>
      </c>
      <c r="AW48" s="505">
        <v>-43070.714528000099</v>
      </c>
      <c r="AX48" s="452">
        <f t="shared" si="5"/>
        <v>-131567.28588199994</v>
      </c>
      <c r="AY48" s="250">
        <f t="shared" si="12"/>
        <v>0</v>
      </c>
      <c r="AZ48" s="439"/>
      <c r="BA48" s="582">
        <v>-178075.59524499997</v>
      </c>
      <c r="BB48" s="462">
        <f t="shared" si="7"/>
        <v>-309642.88112699991</v>
      </c>
      <c r="BC48" s="463">
        <f t="shared" si="16"/>
        <v>0</v>
      </c>
      <c r="BD48" s="431"/>
      <c r="BE48" s="435">
        <f t="shared" si="17"/>
        <v>0</v>
      </c>
    </row>
    <row r="49" spans="1:57" ht="15">
      <c r="A49" s="415">
        <v>43</v>
      </c>
      <c r="B49" s="415">
        <v>309</v>
      </c>
      <c r="C49" t="s">
        <v>701</v>
      </c>
      <c r="D49" t="s">
        <v>1064</v>
      </c>
      <c r="E49" s="364">
        <v>-65895.340579999989</v>
      </c>
      <c r="F49" s="364">
        <v>-64408.713340000002</v>
      </c>
      <c r="G49" s="369">
        <v>-71250.573984000031</v>
      </c>
      <c r="H49" s="364">
        <v>-82592.816395000016</v>
      </c>
      <c r="I49" s="350">
        <f t="shared" si="0"/>
        <v>-284147.44429900002</v>
      </c>
      <c r="K49" s="66">
        <f t="shared" si="1"/>
        <v>0</v>
      </c>
      <c r="L49" s="66"/>
      <c r="M49" s="415">
        <v>43</v>
      </c>
      <c r="N49" s="415">
        <v>309</v>
      </c>
      <c r="O49" s="66" t="s">
        <v>701</v>
      </c>
      <c r="P49" t="s">
        <v>1064</v>
      </c>
      <c r="Q49" s="364">
        <v>-82592.816395000016</v>
      </c>
      <c r="R49" t="s">
        <v>2580</v>
      </c>
      <c r="S49" s="250"/>
      <c r="T49" s="159">
        <f t="shared" si="10"/>
        <v>0</v>
      </c>
      <c r="U49" s="250"/>
      <c r="V49" s="415">
        <v>43</v>
      </c>
      <c r="W49" t="s">
        <v>701</v>
      </c>
      <c r="X49" t="s">
        <v>1064</v>
      </c>
      <c r="Y49" s="364">
        <v>-75401.882950000014</v>
      </c>
      <c r="Z49" s="364">
        <v>-65895.340579999989</v>
      </c>
      <c r="AA49" s="369">
        <v>-64408.713340000002</v>
      </c>
      <c r="AB49" s="505">
        <v>-71250.573984000031</v>
      </c>
      <c r="AC49" s="350">
        <f t="shared" si="13"/>
        <v>-276956.51085400005</v>
      </c>
      <c r="AG49" s="159">
        <f t="shared" si="14"/>
        <v>0</v>
      </c>
      <c r="AI49" s="442" t="s">
        <v>701</v>
      </c>
      <c r="AJ49" t="s">
        <v>1064</v>
      </c>
      <c r="AK49" s="364">
        <v>0</v>
      </c>
      <c r="AL49" s="364">
        <v>-65895.340579999989</v>
      </c>
      <c r="AM49" s="369">
        <v>-64408.713340000002</v>
      </c>
      <c r="AN49" s="505">
        <v>-71250.573984000031</v>
      </c>
      <c r="AO49" s="448">
        <v>-279903.59687000001</v>
      </c>
      <c r="AP49" s="448"/>
      <c r="AQ49" s="438"/>
      <c r="AR49" s="449">
        <f t="shared" si="15"/>
        <v>-201554.62790400002</v>
      </c>
      <c r="AS49" s="438"/>
      <c r="AT49" s="438"/>
      <c r="AU49" s="364">
        <v>-65895.340579999989</v>
      </c>
      <c r="AV49" s="369">
        <v>-64408.713340000002</v>
      </c>
      <c r="AW49" s="505">
        <v>-71250.573984000031</v>
      </c>
      <c r="AX49" s="452">
        <f t="shared" si="5"/>
        <v>-201554.62790400002</v>
      </c>
      <c r="AY49" s="250">
        <f t="shared" si="12"/>
        <v>0</v>
      </c>
      <c r="AZ49" s="439"/>
      <c r="BA49" s="582">
        <v>-82592.816395000016</v>
      </c>
      <c r="BB49" s="462">
        <f t="shared" si="7"/>
        <v>-284147.44429900002</v>
      </c>
      <c r="BC49" s="463">
        <f t="shared" si="16"/>
        <v>0</v>
      </c>
      <c r="BD49" s="431"/>
      <c r="BE49" s="435">
        <f t="shared" si="17"/>
        <v>0</v>
      </c>
    </row>
    <row r="50" spans="1:57" ht="15">
      <c r="A50" s="415">
        <v>44</v>
      </c>
      <c r="B50" s="415">
        <v>270</v>
      </c>
      <c r="C50" t="s">
        <v>633</v>
      </c>
      <c r="D50" t="s">
        <v>1628</v>
      </c>
      <c r="E50" s="364">
        <v>-51633.776908</v>
      </c>
      <c r="F50" s="364">
        <v>-75149.186180000033</v>
      </c>
      <c r="G50" s="369">
        <v>-83499.932319999993</v>
      </c>
      <c r="H50" s="364">
        <v>-132919.501032</v>
      </c>
      <c r="I50" s="350">
        <f t="shared" si="0"/>
        <v>-343202.39644000004</v>
      </c>
      <c r="K50" s="66">
        <f t="shared" si="1"/>
        <v>0</v>
      </c>
      <c r="L50" s="66"/>
      <c r="M50" s="415">
        <v>44</v>
      </c>
      <c r="N50" s="415">
        <v>270</v>
      </c>
      <c r="O50" s="66" t="s">
        <v>633</v>
      </c>
      <c r="P50" t="s">
        <v>1628</v>
      </c>
      <c r="Q50" s="364">
        <v>-132919.501032</v>
      </c>
      <c r="R50" t="s">
        <v>2580</v>
      </c>
      <c r="S50" s="250"/>
      <c r="T50" s="159">
        <f t="shared" si="10"/>
        <v>0</v>
      </c>
      <c r="U50" s="250"/>
      <c r="V50" s="415">
        <v>44</v>
      </c>
      <c r="W50" t="s">
        <v>633</v>
      </c>
      <c r="X50" t="s">
        <v>1628</v>
      </c>
      <c r="Y50" s="364">
        <v>-80771.504064000008</v>
      </c>
      <c r="Z50" s="364">
        <v>-51633.776908</v>
      </c>
      <c r="AA50" s="369">
        <v>-75149.186180000033</v>
      </c>
      <c r="AB50" s="505">
        <v>-83499.932319999993</v>
      </c>
      <c r="AC50" s="350">
        <f t="shared" si="13"/>
        <v>-291054.39947200008</v>
      </c>
      <c r="AG50" s="159">
        <f t="shared" si="14"/>
        <v>0</v>
      </c>
      <c r="AI50" s="442" t="s">
        <v>633</v>
      </c>
      <c r="AJ50" t="s">
        <v>1628</v>
      </c>
      <c r="AK50" s="364">
        <v>0</v>
      </c>
      <c r="AL50" s="364">
        <v>-51633.776908</v>
      </c>
      <c r="AM50" s="369">
        <v>-75149.186180000033</v>
      </c>
      <c r="AN50" s="505">
        <v>-83499.932319999993</v>
      </c>
      <c r="AO50" s="448">
        <v>-312508.87715200003</v>
      </c>
      <c r="AP50" s="448"/>
      <c r="AQ50" s="438"/>
      <c r="AR50" s="449">
        <f t="shared" si="15"/>
        <v>-210282.89540800004</v>
      </c>
      <c r="AS50" s="438"/>
      <c r="AT50" s="438"/>
      <c r="AU50" s="364">
        <v>-51633.776908</v>
      </c>
      <c r="AV50" s="369">
        <v>-75149.186180000033</v>
      </c>
      <c r="AW50" s="505">
        <v>-83499.932319999993</v>
      </c>
      <c r="AX50" s="452">
        <f t="shared" si="5"/>
        <v>-210282.89540800004</v>
      </c>
      <c r="AY50" s="250">
        <f t="shared" si="12"/>
        <v>0</v>
      </c>
      <c r="AZ50" s="439"/>
      <c r="BA50" s="582">
        <v>-132919.501032</v>
      </c>
      <c r="BB50" s="462">
        <f t="shared" si="7"/>
        <v>-343202.39644000004</v>
      </c>
      <c r="BC50" s="463">
        <f t="shared" si="16"/>
        <v>0</v>
      </c>
      <c r="BD50" s="431"/>
      <c r="BE50" s="435">
        <f t="shared" si="17"/>
        <v>0</v>
      </c>
    </row>
    <row r="51" spans="1:57" ht="15">
      <c r="A51" s="415">
        <v>45</v>
      </c>
      <c r="B51" s="415">
        <v>289</v>
      </c>
      <c r="C51" t="s">
        <v>666</v>
      </c>
      <c r="D51" t="s">
        <v>1629</v>
      </c>
      <c r="E51" s="364">
        <v>-63366.330780000018</v>
      </c>
      <c r="F51" s="364">
        <v>-16103.028224000052</v>
      </c>
      <c r="G51" s="369">
        <v>-66015.316075000097</v>
      </c>
      <c r="H51" s="364">
        <v>-118063.232984</v>
      </c>
      <c r="I51" s="350">
        <f t="shared" si="0"/>
        <v>-263547.90806300018</v>
      </c>
      <c r="K51" s="66">
        <f t="shared" si="1"/>
        <v>0</v>
      </c>
      <c r="L51" s="66"/>
      <c r="M51" s="415">
        <v>45</v>
      </c>
      <c r="N51" s="415">
        <v>289</v>
      </c>
      <c r="O51" s="66" t="s">
        <v>666</v>
      </c>
      <c r="P51" t="s">
        <v>1629</v>
      </c>
      <c r="Q51" s="364">
        <v>-118063.232984</v>
      </c>
      <c r="R51" t="s">
        <v>2580</v>
      </c>
      <c r="S51" s="250"/>
      <c r="T51" s="159">
        <f t="shared" si="10"/>
        <v>0</v>
      </c>
      <c r="U51" s="250"/>
      <c r="V51" s="415">
        <v>45</v>
      </c>
      <c r="W51" t="s">
        <v>666</v>
      </c>
      <c r="X51" t="s">
        <v>1629</v>
      </c>
      <c r="Y51" s="364">
        <v>-103647.60709200001</v>
      </c>
      <c r="Z51" s="364">
        <v>-63366.330780000018</v>
      </c>
      <c r="AA51" s="369">
        <v>-16103.028224000052</v>
      </c>
      <c r="AB51" s="505">
        <v>-66015.316075000097</v>
      </c>
      <c r="AC51" s="350">
        <f t="shared" si="13"/>
        <v>-249132.2821710002</v>
      </c>
      <c r="AG51" s="159">
        <f t="shared" si="14"/>
        <v>0</v>
      </c>
      <c r="AI51" s="442" t="s">
        <v>666</v>
      </c>
      <c r="AJ51" t="s">
        <v>1629</v>
      </c>
      <c r="AK51" s="364">
        <v>0</v>
      </c>
      <c r="AL51" s="364">
        <v>-63366.330780000018</v>
      </c>
      <c r="AM51" s="369">
        <v>-16103.028224000052</v>
      </c>
      <c r="AN51" s="505">
        <v>-66015.316075000097</v>
      </c>
      <c r="AO51" s="448">
        <v>-335971.2060960001</v>
      </c>
      <c r="AP51" s="448"/>
      <c r="AQ51" s="438"/>
      <c r="AR51" s="449">
        <f t="shared" si="15"/>
        <v>-145484.67507900018</v>
      </c>
      <c r="AS51" s="438"/>
      <c r="AT51" s="438"/>
      <c r="AU51" s="364">
        <v>-63366.330780000018</v>
      </c>
      <c r="AV51" s="369">
        <v>-16103.028224000052</v>
      </c>
      <c r="AW51" s="505">
        <v>-66015.316075000097</v>
      </c>
      <c r="AX51" s="452">
        <f t="shared" si="5"/>
        <v>-145484.67507900018</v>
      </c>
      <c r="AY51" s="250">
        <f t="shared" si="12"/>
        <v>0</v>
      </c>
      <c r="AZ51" s="439"/>
      <c r="BA51" s="582">
        <v>-118063.232984</v>
      </c>
      <c r="BB51" s="462">
        <f t="shared" si="7"/>
        <v>-263547.90806300018</v>
      </c>
      <c r="BC51" s="463">
        <f t="shared" si="16"/>
        <v>0</v>
      </c>
      <c r="BD51" s="431"/>
      <c r="BE51" s="435">
        <f t="shared" si="17"/>
        <v>0</v>
      </c>
    </row>
    <row r="52" spans="1:57" ht="15">
      <c r="A52" s="415">
        <v>46</v>
      </c>
      <c r="B52" s="415">
        <v>266</v>
      </c>
      <c r="C52" t="s">
        <v>626</v>
      </c>
      <c r="D52" t="s">
        <v>1031</v>
      </c>
      <c r="E52" s="364">
        <v>-70483.622551999986</v>
      </c>
      <c r="F52" s="364">
        <v>-51927.179503999796</v>
      </c>
      <c r="G52" s="369">
        <v>-216322.87504000007</v>
      </c>
      <c r="H52" s="364">
        <v>-445534.14946600026</v>
      </c>
      <c r="I52" s="350">
        <f t="shared" si="0"/>
        <v>-784267.82656200009</v>
      </c>
      <c r="K52" s="66">
        <f t="shared" si="1"/>
        <v>0</v>
      </c>
      <c r="L52" s="66"/>
      <c r="M52" s="415">
        <v>46</v>
      </c>
      <c r="N52" s="415">
        <v>266</v>
      </c>
      <c r="O52" s="66" t="s">
        <v>626</v>
      </c>
      <c r="P52" t="s">
        <v>1031</v>
      </c>
      <c r="Q52" s="364">
        <v>-445534.14946600026</v>
      </c>
      <c r="R52" t="s">
        <v>2580</v>
      </c>
      <c r="S52" s="250"/>
      <c r="T52" s="159">
        <f t="shared" si="10"/>
        <v>0</v>
      </c>
      <c r="U52" s="250"/>
      <c r="V52" s="415">
        <v>46</v>
      </c>
      <c r="W52" t="s">
        <v>626</v>
      </c>
      <c r="X52" t="s">
        <v>1031</v>
      </c>
      <c r="Y52" s="364">
        <v>-250674.77327999996</v>
      </c>
      <c r="Z52" s="364">
        <v>-70483.622551999986</v>
      </c>
      <c r="AA52" s="369">
        <v>-51927.179503999796</v>
      </c>
      <c r="AB52" s="505">
        <v>-216322.87504000007</v>
      </c>
      <c r="AC52" s="350">
        <f t="shared" si="13"/>
        <v>-589408.45037599979</v>
      </c>
      <c r="AG52" s="159">
        <f t="shared" si="14"/>
        <v>0</v>
      </c>
      <c r="AI52" s="442" t="s">
        <v>626</v>
      </c>
      <c r="AJ52" t="s">
        <v>1031</v>
      </c>
      <c r="AK52" s="364">
        <v>0</v>
      </c>
      <c r="AL52" s="364">
        <v>-70483.622551999986</v>
      </c>
      <c r="AM52" s="369">
        <v>-51927.179503999796</v>
      </c>
      <c r="AN52" s="505">
        <v>-216322.87504000007</v>
      </c>
      <c r="AO52" s="448">
        <v>-575891.37533599976</v>
      </c>
      <c r="AP52" s="448"/>
      <c r="AQ52" s="438"/>
      <c r="AR52" s="449">
        <f t="shared" si="15"/>
        <v>-338733.67709599982</v>
      </c>
      <c r="AS52" s="438"/>
      <c r="AT52" s="438"/>
      <c r="AU52" s="364">
        <v>-70483.622551999986</v>
      </c>
      <c r="AV52" s="369">
        <v>-51927.179503999796</v>
      </c>
      <c r="AW52" s="505">
        <v>-216322.87504000007</v>
      </c>
      <c r="AX52" s="452">
        <f t="shared" si="5"/>
        <v>-338733.67709599982</v>
      </c>
      <c r="AY52" s="250">
        <f t="shared" si="12"/>
        <v>0</v>
      </c>
      <c r="AZ52" s="439"/>
      <c r="BA52" s="582">
        <v>-445534.14946600026</v>
      </c>
      <c r="BB52" s="462">
        <f t="shared" si="7"/>
        <v>-784267.82656200009</v>
      </c>
      <c r="BC52" s="463">
        <f t="shared" si="16"/>
        <v>0</v>
      </c>
      <c r="BD52" s="431"/>
      <c r="BE52" s="435">
        <f t="shared" si="17"/>
        <v>0</v>
      </c>
    </row>
    <row r="53" spans="1:57" ht="15">
      <c r="A53" s="415">
        <v>47</v>
      </c>
      <c r="B53" s="415">
        <v>218</v>
      </c>
      <c r="C53" t="s">
        <v>543</v>
      </c>
      <c r="D53" t="s">
        <v>997</v>
      </c>
      <c r="E53" s="364">
        <v>-176086.9775119999</v>
      </c>
      <c r="F53" s="364">
        <v>-120045.13753499997</v>
      </c>
      <c r="G53" s="369">
        <v>-109184.41693099996</v>
      </c>
      <c r="H53" s="364">
        <v>-167666.19750000001</v>
      </c>
      <c r="I53" s="350">
        <f t="shared" si="0"/>
        <v>-572982.72947799985</v>
      </c>
      <c r="K53" s="66">
        <f t="shared" si="1"/>
        <v>0</v>
      </c>
      <c r="L53" s="66"/>
      <c r="M53" s="415">
        <v>47</v>
      </c>
      <c r="N53" s="415">
        <v>218</v>
      </c>
      <c r="O53" s="66" t="s">
        <v>543</v>
      </c>
      <c r="P53" t="s">
        <v>997</v>
      </c>
      <c r="Q53" s="364">
        <v>-167666.19750000001</v>
      </c>
      <c r="R53" t="s">
        <v>2580</v>
      </c>
      <c r="S53" s="250"/>
      <c r="T53" s="159">
        <f t="shared" si="10"/>
        <v>0</v>
      </c>
      <c r="U53" s="250"/>
      <c r="V53" s="415">
        <v>47</v>
      </c>
      <c r="W53" t="s">
        <v>543</v>
      </c>
      <c r="X53" t="s">
        <v>997</v>
      </c>
      <c r="Y53" s="364">
        <v>-32367.019435000082</v>
      </c>
      <c r="Z53" s="364">
        <v>-176086.9775119999</v>
      </c>
      <c r="AA53" s="369">
        <v>-120045.13753499997</v>
      </c>
      <c r="AB53" s="505">
        <v>-109184.41693099996</v>
      </c>
      <c r="AC53" s="350">
        <f t="shared" si="13"/>
        <v>-437683.55141299992</v>
      </c>
      <c r="AG53" s="159">
        <f t="shared" si="14"/>
        <v>0</v>
      </c>
      <c r="AI53" s="442" t="s">
        <v>543</v>
      </c>
      <c r="AJ53" t="s">
        <v>997</v>
      </c>
      <c r="AK53" s="364">
        <v>0</v>
      </c>
      <c r="AL53" s="364">
        <v>-176086.9775119999</v>
      </c>
      <c r="AM53" s="369">
        <v>-120045.13753499997</v>
      </c>
      <c r="AN53" s="505">
        <v>-109184.41693099996</v>
      </c>
      <c r="AO53" s="448">
        <v>-411635.12448199996</v>
      </c>
      <c r="AP53" s="448"/>
      <c r="AQ53" s="438"/>
      <c r="AR53" s="449">
        <f t="shared" si="15"/>
        <v>-405316.53197799984</v>
      </c>
      <c r="AS53" s="438"/>
      <c r="AT53" s="438"/>
      <c r="AU53" s="364">
        <v>-176086.9775119999</v>
      </c>
      <c r="AV53" s="369">
        <v>-120045.13753499997</v>
      </c>
      <c r="AW53" s="505">
        <v>-109184.41693099996</v>
      </c>
      <c r="AX53" s="452">
        <f t="shared" si="5"/>
        <v>-405316.53197799984</v>
      </c>
      <c r="AY53" s="250">
        <f t="shared" si="12"/>
        <v>0</v>
      </c>
      <c r="AZ53" s="439"/>
      <c r="BA53" s="582">
        <v>-167666.19750000001</v>
      </c>
      <c r="BB53" s="462">
        <f t="shared" si="7"/>
        <v>-572982.72947799985</v>
      </c>
      <c r="BC53" s="463">
        <f t="shared" si="16"/>
        <v>0</v>
      </c>
      <c r="BD53" s="431"/>
      <c r="BE53" s="435">
        <f t="shared" si="17"/>
        <v>0</v>
      </c>
    </row>
    <row r="54" spans="1:57" ht="15">
      <c r="A54" s="415">
        <v>48</v>
      </c>
      <c r="B54" s="415">
        <v>223</v>
      </c>
      <c r="C54" t="s">
        <v>552</v>
      </c>
      <c r="D54" t="s">
        <v>1001</v>
      </c>
      <c r="E54" s="364">
        <v>-7705.0812720000395</v>
      </c>
      <c r="F54" s="364">
        <v>-39860.299349000001</v>
      </c>
      <c r="G54" s="369">
        <v>-66588.354251999961</v>
      </c>
      <c r="H54" s="364">
        <v>-136343.15809499996</v>
      </c>
      <c r="I54" s="350">
        <f t="shared" si="0"/>
        <v>-250496.89296799997</v>
      </c>
      <c r="K54" s="66">
        <f t="shared" si="1"/>
        <v>0</v>
      </c>
      <c r="L54" s="66"/>
      <c r="M54" s="415">
        <v>48</v>
      </c>
      <c r="N54" s="415">
        <v>223</v>
      </c>
      <c r="O54" s="66" t="s">
        <v>552</v>
      </c>
      <c r="P54" t="s">
        <v>1001</v>
      </c>
      <c r="Q54" s="364">
        <v>-136343.15809499996</v>
      </c>
      <c r="R54" t="s">
        <v>2580</v>
      </c>
      <c r="S54" s="250"/>
      <c r="T54" s="159">
        <f t="shared" si="10"/>
        <v>0</v>
      </c>
      <c r="U54" s="250"/>
      <c r="V54" s="415">
        <v>48</v>
      </c>
      <c r="W54" t="s">
        <v>552</v>
      </c>
      <c r="X54" t="s">
        <v>1001</v>
      </c>
      <c r="Y54" s="364">
        <v>-56069.170740000023</v>
      </c>
      <c r="Z54" s="364">
        <v>-7705.0812720000395</v>
      </c>
      <c r="AA54" s="369">
        <v>-39860.299349000001</v>
      </c>
      <c r="AB54" s="505">
        <v>-66588.354251999961</v>
      </c>
      <c r="AC54" s="350">
        <f t="shared" si="13"/>
        <v>-170222.90561300004</v>
      </c>
      <c r="AG54" s="159">
        <f t="shared" si="14"/>
        <v>0</v>
      </c>
      <c r="AI54" s="442" t="s">
        <v>552</v>
      </c>
      <c r="AJ54" t="s">
        <v>1001</v>
      </c>
      <c r="AK54" s="364">
        <v>0</v>
      </c>
      <c r="AL54" s="364">
        <v>-7705.0812720000395</v>
      </c>
      <c r="AM54" s="369">
        <v>-39860.299349000001</v>
      </c>
      <c r="AN54" s="505">
        <v>-66588.354251999961</v>
      </c>
      <c r="AO54" s="448">
        <v>-176638.84136100006</v>
      </c>
      <c r="AP54" s="448"/>
      <c r="AQ54" s="438"/>
      <c r="AR54" s="449">
        <f t="shared" si="15"/>
        <v>-114153.73487300001</v>
      </c>
      <c r="AS54" s="438"/>
      <c r="AT54" s="438"/>
      <c r="AU54" s="364">
        <v>-7705.0812720000395</v>
      </c>
      <c r="AV54" s="369">
        <v>-39860.299349000001</v>
      </c>
      <c r="AW54" s="505">
        <v>-66588.354251999961</v>
      </c>
      <c r="AX54" s="452">
        <f t="shared" si="5"/>
        <v>-114153.73487300001</v>
      </c>
      <c r="AY54" s="250">
        <f t="shared" si="12"/>
        <v>0</v>
      </c>
      <c r="AZ54" s="439"/>
      <c r="BA54" s="582">
        <v>-136343.15809499996</v>
      </c>
      <c r="BB54" s="462">
        <f t="shared" si="7"/>
        <v>-250496.89296799997</v>
      </c>
      <c r="BC54" s="463">
        <f t="shared" si="16"/>
        <v>0</v>
      </c>
      <c r="BD54" s="431"/>
      <c r="BE54" s="435">
        <f t="shared" si="17"/>
        <v>0</v>
      </c>
    </row>
    <row r="55" spans="1:57" ht="15">
      <c r="A55" s="415">
        <v>49</v>
      </c>
      <c r="B55" s="415">
        <v>84</v>
      </c>
      <c r="C55" t="s">
        <v>312</v>
      </c>
      <c r="D55" t="s">
        <v>894</v>
      </c>
      <c r="E55" s="364">
        <v>-68640.378393000006</v>
      </c>
      <c r="F55" s="364">
        <v>-76686.811452000024</v>
      </c>
      <c r="G55" s="369">
        <v>-71131.077519999963</v>
      </c>
      <c r="H55" s="364">
        <v>-37388.010084000009</v>
      </c>
      <c r="I55" s="350">
        <f t="shared" si="0"/>
        <v>-253846.27744900002</v>
      </c>
      <c r="K55" s="66">
        <f t="shared" si="1"/>
        <v>0</v>
      </c>
      <c r="L55" s="66"/>
      <c r="M55" s="415">
        <v>49</v>
      </c>
      <c r="N55" s="415">
        <v>84</v>
      </c>
      <c r="O55" s="66" t="s">
        <v>312</v>
      </c>
      <c r="P55" t="s">
        <v>894</v>
      </c>
      <c r="Q55" s="364">
        <v>-37388.010084000009</v>
      </c>
      <c r="R55" t="s">
        <v>2580</v>
      </c>
      <c r="S55" s="250"/>
      <c r="T55" s="159">
        <f t="shared" si="10"/>
        <v>0</v>
      </c>
      <c r="U55" s="250"/>
      <c r="V55" s="415">
        <v>49</v>
      </c>
      <c r="W55" t="s">
        <v>312</v>
      </c>
      <c r="X55" t="s">
        <v>894</v>
      </c>
      <c r="Y55" s="364">
        <v>-45048.534979999997</v>
      </c>
      <c r="Z55" s="364">
        <v>-68640.378393000006</v>
      </c>
      <c r="AA55" s="369">
        <v>-76686.811452000024</v>
      </c>
      <c r="AB55" s="505">
        <v>-71131.077519999963</v>
      </c>
      <c r="AC55" s="350">
        <f t="shared" si="13"/>
        <v>-261506.802345</v>
      </c>
      <c r="AG55" s="159">
        <f t="shared" si="14"/>
        <v>0</v>
      </c>
      <c r="AI55" s="442" t="s">
        <v>312</v>
      </c>
      <c r="AJ55" t="s">
        <v>894</v>
      </c>
      <c r="AK55" s="364">
        <v>0</v>
      </c>
      <c r="AL55" s="364">
        <v>-68640.378393000006</v>
      </c>
      <c r="AM55" s="369">
        <v>-76686.811452000024</v>
      </c>
      <c r="AN55" s="505">
        <v>-71131.077519999963</v>
      </c>
      <c r="AO55" s="448">
        <v>-204899.26482500002</v>
      </c>
      <c r="AP55" s="448"/>
      <c r="AQ55" s="438"/>
      <c r="AR55" s="449">
        <f t="shared" si="15"/>
        <v>-216458.26736500001</v>
      </c>
      <c r="AS55" s="438"/>
      <c r="AT55" s="438"/>
      <c r="AU55" s="364">
        <v>-68640.378393000006</v>
      </c>
      <c r="AV55" s="369">
        <v>-76686.811452000024</v>
      </c>
      <c r="AW55" s="505">
        <v>-71131.077519999963</v>
      </c>
      <c r="AX55" s="452">
        <f t="shared" si="5"/>
        <v>-216458.26736500001</v>
      </c>
      <c r="AY55" s="250">
        <f t="shared" si="12"/>
        <v>0</v>
      </c>
      <c r="AZ55" s="439"/>
      <c r="BA55" s="582">
        <v>-37388.010084000009</v>
      </c>
      <c r="BB55" s="462">
        <f t="shared" si="7"/>
        <v>-253846.27744900002</v>
      </c>
      <c r="BC55" s="463">
        <f t="shared" si="16"/>
        <v>0</v>
      </c>
      <c r="BD55" s="431"/>
      <c r="BE55" s="435">
        <f t="shared" si="17"/>
        <v>0</v>
      </c>
    </row>
    <row r="56" spans="1:57" ht="15">
      <c r="A56" s="415">
        <v>50</v>
      </c>
      <c r="B56" s="415">
        <v>69</v>
      </c>
      <c r="C56" t="s">
        <v>283</v>
      </c>
      <c r="D56" t="s">
        <v>284</v>
      </c>
      <c r="E56" s="364">
        <v>-36698.316528000054</v>
      </c>
      <c r="F56" s="364">
        <v>-71602.910422000015</v>
      </c>
      <c r="G56" s="369">
        <v>-44844.183643999975</v>
      </c>
      <c r="H56" s="364">
        <v>-86934.44990800001</v>
      </c>
      <c r="I56" s="350">
        <f t="shared" si="0"/>
        <v>-240079.86050200005</v>
      </c>
      <c r="K56" s="66">
        <f t="shared" si="1"/>
        <v>0</v>
      </c>
      <c r="L56" s="66"/>
      <c r="M56" s="415">
        <v>50</v>
      </c>
      <c r="N56" s="415">
        <v>69</v>
      </c>
      <c r="O56" s="66" t="s">
        <v>283</v>
      </c>
      <c r="P56" t="s">
        <v>284</v>
      </c>
      <c r="Q56" s="364">
        <v>-86934.44990800001</v>
      </c>
      <c r="R56" t="s">
        <v>2580</v>
      </c>
      <c r="S56" s="250"/>
      <c r="T56" s="159">
        <f t="shared" si="10"/>
        <v>0</v>
      </c>
      <c r="U56" s="250"/>
      <c r="V56" s="415">
        <v>50</v>
      </c>
      <c r="W56" t="s">
        <v>283</v>
      </c>
      <c r="X56" t="s">
        <v>284</v>
      </c>
      <c r="Y56" s="364">
        <v>-82055.274049</v>
      </c>
      <c r="Z56" s="364">
        <v>-36698.316528000054</v>
      </c>
      <c r="AA56" s="369">
        <v>-71602.910422000015</v>
      </c>
      <c r="AB56" s="505">
        <v>-44844.183643999975</v>
      </c>
      <c r="AC56" s="350">
        <f t="shared" si="13"/>
        <v>-235200.68464300004</v>
      </c>
      <c r="AG56" s="159">
        <f t="shared" si="14"/>
        <v>0</v>
      </c>
      <c r="AI56" s="442" t="s">
        <v>283</v>
      </c>
      <c r="AJ56" t="s">
        <v>284</v>
      </c>
      <c r="AK56" s="364">
        <v>0</v>
      </c>
      <c r="AL56" s="364">
        <v>-36698.316528000054</v>
      </c>
      <c r="AM56" s="369">
        <v>-71602.910422000015</v>
      </c>
      <c r="AN56" s="505">
        <v>-44844.183643999975</v>
      </c>
      <c r="AO56" s="448">
        <v>-245949.14099900008</v>
      </c>
      <c r="AP56" s="448"/>
      <c r="AQ56" s="438"/>
      <c r="AR56" s="449">
        <f t="shared" si="15"/>
        <v>-153145.41059400004</v>
      </c>
      <c r="AS56" s="438"/>
      <c r="AT56" s="438"/>
      <c r="AU56" s="364">
        <v>-36698.316528000054</v>
      </c>
      <c r="AV56" s="369">
        <v>-71602.910422000015</v>
      </c>
      <c r="AW56" s="505">
        <v>-44844.183643999975</v>
      </c>
      <c r="AX56" s="452">
        <f t="shared" si="5"/>
        <v>-153145.41059400004</v>
      </c>
      <c r="AY56" s="250">
        <f t="shared" si="12"/>
        <v>0</v>
      </c>
      <c r="AZ56" s="439"/>
      <c r="BA56" s="582">
        <v>-86934.44990800001</v>
      </c>
      <c r="BB56" s="462">
        <f t="shared" si="7"/>
        <v>-240079.86050200005</v>
      </c>
      <c r="BC56" s="463">
        <f t="shared" si="16"/>
        <v>0</v>
      </c>
      <c r="BD56" s="431"/>
      <c r="BE56" s="435">
        <f t="shared" si="17"/>
        <v>0</v>
      </c>
    </row>
    <row r="57" spans="1:57" ht="15">
      <c r="A57" s="415">
        <v>51</v>
      </c>
      <c r="B57" s="415">
        <v>90</v>
      </c>
      <c r="C57" t="s">
        <v>324</v>
      </c>
      <c r="D57" t="s">
        <v>900</v>
      </c>
      <c r="E57" s="364">
        <v>-266677.33352499991</v>
      </c>
      <c r="F57" s="364">
        <v>-496556.69308800012</v>
      </c>
      <c r="G57" s="369">
        <v>-333468.20667199988</v>
      </c>
      <c r="H57" s="364">
        <v>-376709.05195200013</v>
      </c>
      <c r="I57" s="350">
        <f t="shared" si="0"/>
        <v>-1473411.2852370003</v>
      </c>
      <c r="K57" s="66">
        <f t="shared" si="1"/>
        <v>0</v>
      </c>
      <c r="L57" s="66"/>
      <c r="M57" s="415">
        <v>51</v>
      </c>
      <c r="N57" s="415">
        <v>90</v>
      </c>
      <c r="O57" s="66" t="s">
        <v>324</v>
      </c>
      <c r="P57" t="s">
        <v>900</v>
      </c>
      <c r="Q57" s="364">
        <v>-376709.05195200013</v>
      </c>
      <c r="R57" t="s">
        <v>2580</v>
      </c>
      <c r="S57" s="250"/>
      <c r="T57" s="159">
        <f t="shared" si="10"/>
        <v>0</v>
      </c>
      <c r="U57" s="250"/>
      <c r="V57" s="415">
        <v>51</v>
      </c>
      <c r="W57" t="s">
        <v>324</v>
      </c>
      <c r="X57" t="s">
        <v>900</v>
      </c>
      <c r="Y57" s="364">
        <v>0</v>
      </c>
      <c r="Z57" s="364">
        <v>-266677.33352499991</v>
      </c>
      <c r="AA57" s="369">
        <v>-496556.69308800012</v>
      </c>
      <c r="AB57" s="505">
        <v>-333468.20667199988</v>
      </c>
      <c r="AC57" s="350">
        <f t="shared" si="13"/>
        <v>-1096702.2332850001</v>
      </c>
      <c r="AG57" s="159">
        <f t="shared" si="14"/>
        <v>0</v>
      </c>
      <c r="AI57" s="442" t="s">
        <v>324</v>
      </c>
      <c r="AJ57" t="s">
        <v>900</v>
      </c>
      <c r="AK57" s="364">
        <v>0</v>
      </c>
      <c r="AL57" s="364">
        <v>-266677.33352499991</v>
      </c>
      <c r="AM57" s="369">
        <v>-496556.69308800012</v>
      </c>
      <c r="AN57" s="505">
        <v>-333468.20667199988</v>
      </c>
      <c r="AO57" s="581">
        <f>SUM(AK57:AN57)</f>
        <v>-1096702.2332850001</v>
      </c>
      <c r="AP57" s="448"/>
      <c r="AQ57" s="438"/>
      <c r="AR57" s="449">
        <f t="shared" si="15"/>
        <v>-1096702.2332850001</v>
      </c>
      <c r="AS57" s="438"/>
      <c r="AT57" s="438"/>
      <c r="AU57" s="364">
        <v>-266677.33352499991</v>
      </c>
      <c r="AV57" s="369">
        <v>-496556.69308800012</v>
      </c>
      <c r="AW57" s="505">
        <v>-333468.20667199988</v>
      </c>
      <c r="AX57" s="452">
        <f t="shared" si="5"/>
        <v>-1096702.2332850001</v>
      </c>
      <c r="AY57" s="250">
        <f t="shared" si="12"/>
        <v>0</v>
      </c>
      <c r="AZ57" s="439"/>
      <c r="BA57" s="582">
        <v>-376709.05195200013</v>
      </c>
      <c r="BB57" s="462">
        <f t="shared" si="7"/>
        <v>-1473411.2852370003</v>
      </c>
      <c r="BC57" s="463">
        <f t="shared" si="16"/>
        <v>0</v>
      </c>
      <c r="BD57" s="431"/>
      <c r="BE57" s="435">
        <f t="shared" si="17"/>
        <v>0</v>
      </c>
    </row>
    <row r="58" spans="1:57" ht="15">
      <c r="A58" s="415">
        <v>52</v>
      </c>
      <c r="B58" s="415">
        <v>24</v>
      </c>
      <c r="C58" t="s">
        <v>205</v>
      </c>
      <c r="D58" t="s">
        <v>845</v>
      </c>
      <c r="E58" s="364">
        <v>-82307.59577999996</v>
      </c>
      <c r="F58" s="364">
        <v>-71300.955516000016</v>
      </c>
      <c r="G58" s="369">
        <v>-73652.494579999999</v>
      </c>
      <c r="H58" s="364">
        <v>-101907.72308400003</v>
      </c>
      <c r="I58" s="350">
        <f t="shared" si="0"/>
        <v>-329168.76896000002</v>
      </c>
      <c r="K58" s="66">
        <f t="shared" si="1"/>
        <v>0</v>
      </c>
      <c r="L58" s="66"/>
      <c r="M58" s="415">
        <v>52</v>
      </c>
      <c r="N58" s="415">
        <v>24</v>
      </c>
      <c r="O58" s="66" t="s">
        <v>205</v>
      </c>
      <c r="P58" t="s">
        <v>845</v>
      </c>
      <c r="Q58" s="364">
        <v>-101907.72308400003</v>
      </c>
      <c r="R58" t="s">
        <v>2580</v>
      </c>
      <c r="S58" s="250"/>
      <c r="T58" s="159">
        <f t="shared" si="10"/>
        <v>0</v>
      </c>
      <c r="U58" s="250"/>
      <c r="V58" s="415">
        <v>52</v>
      </c>
      <c r="W58" t="s">
        <v>205</v>
      </c>
      <c r="X58" t="s">
        <v>845</v>
      </c>
      <c r="Y58" s="364">
        <v>-87851.174980999975</v>
      </c>
      <c r="Z58" s="364">
        <v>-82307.59577999996</v>
      </c>
      <c r="AA58" s="369">
        <v>-71300.955516000016</v>
      </c>
      <c r="AB58" s="505">
        <v>-73652.494579999999</v>
      </c>
      <c r="AC58" s="350">
        <f t="shared" si="13"/>
        <v>-315112.22085699998</v>
      </c>
      <c r="AG58" s="159">
        <f t="shared" si="14"/>
        <v>0</v>
      </c>
      <c r="AI58" s="442" t="s">
        <v>205</v>
      </c>
      <c r="AJ58" t="s">
        <v>845</v>
      </c>
      <c r="AK58" s="364">
        <v>0</v>
      </c>
      <c r="AL58" s="364">
        <v>-82307.59577999996</v>
      </c>
      <c r="AM58" s="369">
        <v>-71300.955516000016</v>
      </c>
      <c r="AN58" s="505">
        <v>-73652.494579999999</v>
      </c>
      <c r="AO58" s="448">
        <v>-335776.03627699998</v>
      </c>
      <c r="AP58" s="448"/>
      <c r="AQ58" s="438"/>
      <c r="AR58" s="449">
        <f t="shared" si="15"/>
        <v>-227261.04587599996</v>
      </c>
      <c r="AS58" s="438"/>
      <c r="AT58" s="438"/>
      <c r="AU58" s="364">
        <v>-82307.59577999996</v>
      </c>
      <c r="AV58" s="369">
        <v>-71300.955516000016</v>
      </c>
      <c r="AW58" s="505">
        <v>-73652.494579999999</v>
      </c>
      <c r="AX58" s="452">
        <f t="shared" si="5"/>
        <v>-227261.04587599996</v>
      </c>
      <c r="AY58" s="250">
        <f t="shared" si="12"/>
        <v>0</v>
      </c>
      <c r="AZ58" s="439"/>
      <c r="BA58" s="582">
        <v>-101907.72308400003</v>
      </c>
      <c r="BB58" s="462">
        <f t="shared" si="7"/>
        <v>-329168.76896000002</v>
      </c>
      <c r="BC58" s="463">
        <f t="shared" si="16"/>
        <v>0</v>
      </c>
      <c r="BD58" s="431"/>
      <c r="BE58" s="435">
        <f t="shared" si="17"/>
        <v>0</v>
      </c>
    </row>
    <row r="59" spans="1:57" ht="15">
      <c r="A59" s="415">
        <v>53</v>
      </c>
      <c r="B59" s="415">
        <v>166</v>
      </c>
      <c r="C59" t="s">
        <v>448</v>
      </c>
      <c r="D59" t="s">
        <v>953</v>
      </c>
      <c r="E59" s="364">
        <v>-63594.796249999999</v>
      </c>
      <c r="F59" s="364">
        <v>-72672.349014999985</v>
      </c>
      <c r="G59" s="369">
        <v>-73834.049784000003</v>
      </c>
      <c r="H59" s="364">
        <v>-108361.43765400002</v>
      </c>
      <c r="I59" s="350">
        <f t="shared" si="0"/>
        <v>-318462.63270300004</v>
      </c>
      <c r="K59" s="66">
        <f t="shared" si="1"/>
        <v>0</v>
      </c>
      <c r="L59" s="66"/>
      <c r="M59" s="415">
        <v>53</v>
      </c>
      <c r="N59" s="415">
        <v>166</v>
      </c>
      <c r="O59" s="66" t="s">
        <v>448</v>
      </c>
      <c r="P59" t="s">
        <v>953</v>
      </c>
      <c r="Q59" s="364">
        <v>-108361.43765400002</v>
      </c>
      <c r="R59" t="s">
        <v>2580</v>
      </c>
      <c r="S59" s="250"/>
      <c r="T59" s="159">
        <f t="shared" si="10"/>
        <v>0</v>
      </c>
      <c r="U59" s="250"/>
      <c r="V59" s="415">
        <v>53</v>
      </c>
      <c r="W59" t="s">
        <v>448</v>
      </c>
      <c r="X59" t="s">
        <v>953</v>
      </c>
      <c r="Y59" s="364">
        <v>-43688.142480000017</v>
      </c>
      <c r="Z59" s="364">
        <v>-63594.796249999999</v>
      </c>
      <c r="AA59" s="369">
        <v>-72672.349014999985</v>
      </c>
      <c r="AB59" s="505">
        <v>-73834.049784000003</v>
      </c>
      <c r="AC59" s="350">
        <f t="shared" si="13"/>
        <v>-253789.33752900001</v>
      </c>
      <c r="AG59" s="159">
        <f t="shared" si="14"/>
        <v>0</v>
      </c>
      <c r="AI59" s="442" t="s">
        <v>448</v>
      </c>
      <c r="AJ59" t="s">
        <v>953</v>
      </c>
      <c r="AK59" s="364">
        <v>0</v>
      </c>
      <c r="AL59" s="364">
        <v>-63594.796249999999</v>
      </c>
      <c r="AM59" s="369">
        <v>-72672.349014999985</v>
      </c>
      <c r="AN59" s="505">
        <v>-73834.049784000003</v>
      </c>
      <c r="AO59" s="448">
        <v>-239070.51774500002</v>
      </c>
      <c r="AP59" s="448"/>
      <c r="AQ59" s="438"/>
      <c r="AR59" s="449">
        <f t="shared" si="15"/>
        <v>-210101.195049</v>
      </c>
      <c r="AS59" s="438"/>
      <c r="AT59" s="438"/>
      <c r="AU59" s="364">
        <v>-63594.796249999999</v>
      </c>
      <c r="AV59" s="369">
        <v>-72672.349014999985</v>
      </c>
      <c r="AW59" s="505">
        <v>-73834.049784000003</v>
      </c>
      <c r="AX59" s="452">
        <f t="shared" si="5"/>
        <v>-210101.195049</v>
      </c>
      <c r="AY59" s="250">
        <f t="shared" si="12"/>
        <v>0</v>
      </c>
      <c r="AZ59" s="439"/>
      <c r="BA59" s="582">
        <v>-108361.43765400002</v>
      </c>
      <c r="BB59" s="462">
        <f t="shared" si="7"/>
        <v>-318462.63270300004</v>
      </c>
      <c r="BC59" s="463">
        <f t="shared" si="16"/>
        <v>0</v>
      </c>
      <c r="BD59" s="431"/>
      <c r="BE59" s="435">
        <f t="shared" si="17"/>
        <v>0</v>
      </c>
    </row>
    <row r="60" spans="1:57" ht="15">
      <c r="A60" s="415">
        <v>54</v>
      </c>
      <c r="B60" s="415">
        <v>56</v>
      </c>
      <c r="C60" t="s">
        <v>259</v>
      </c>
      <c r="D60" t="s">
        <v>870</v>
      </c>
      <c r="E60" s="364">
        <v>-61212.27057600001</v>
      </c>
      <c r="F60" s="364">
        <v>-104405.16860999999</v>
      </c>
      <c r="G60" s="369">
        <v>-145927.52961500006</v>
      </c>
      <c r="H60" s="364">
        <v>-98185.982267999963</v>
      </c>
      <c r="I60" s="350">
        <f t="shared" si="0"/>
        <v>-409730.951069</v>
      </c>
      <c r="K60" s="66">
        <f t="shared" si="1"/>
        <v>0</v>
      </c>
      <c r="L60" s="66"/>
      <c r="M60" s="415">
        <v>54</v>
      </c>
      <c r="N60" s="415">
        <v>56</v>
      </c>
      <c r="O60" s="66" t="s">
        <v>259</v>
      </c>
      <c r="P60" t="s">
        <v>870</v>
      </c>
      <c r="Q60" s="364">
        <v>-98185.982267999963</v>
      </c>
      <c r="R60" t="s">
        <v>2580</v>
      </c>
      <c r="S60" s="250"/>
      <c r="T60" s="159">
        <f t="shared" si="10"/>
        <v>0</v>
      </c>
      <c r="U60" s="250"/>
      <c r="V60" s="415">
        <v>54</v>
      </c>
      <c r="W60" t="s">
        <v>259</v>
      </c>
      <c r="X60" t="s">
        <v>870</v>
      </c>
      <c r="Y60" s="364">
        <v>-94350.827174999984</v>
      </c>
      <c r="Z60" s="364">
        <v>-61212.27057600001</v>
      </c>
      <c r="AA60" s="369">
        <v>-104405.16860999999</v>
      </c>
      <c r="AB60" s="505">
        <v>-145927.52961500006</v>
      </c>
      <c r="AC60" s="350">
        <f t="shared" si="13"/>
        <v>-405895.79597600002</v>
      </c>
      <c r="AG60" s="159">
        <f t="shared" si="14"/>
        <v>0</v>
      </c>
      <c r="AI60" s="442" t="s">
        <v>259</v>
      </c>
      <c r="AJ60" t="s">
        <v>870</v>
      </c>
      <c r="AK60" s="364">
        <v>0</v>
      </c>
      <c r="AL60" s="364">
        <v>-61212.27057600001</v>
      </c>
      <c r="AM60" s="369">
        <v>-104405.16860999999</v>
      </c>
      <c r="AN60" s="505">
        <v>-145927.52961500006</v>
      </c>
      <c r="AO60" s="448">
        <v>-367061.29636099999</v>
      </c>
      <c r="AP60" s="448"/>
      <c r="AQ60" s="438"/>
      <c r="AR60" s="449">
        <f t="shared" si="15"/>
        <v>-311544.96880100004</v>
      </c>
      <c r="AS60" s="438"/>
      <c r="AT60" s="438"/>
      <c r="AU60" s="364">
        <v>-61212.27057600001</v>
      </c>
      <c r="AV60" s="369">
        <v>-104405.16860999999</v>
      </c>
      <c r="AW60" s="505">
        <v>-145927.52961500006</v>
      </c>
      <c r="AX60" s="452">
        <f t="shared" si="5"/>
        <v>-311544.96880100004</v>
      </c>
      <c r="AY60" s="250">
        <f t="shared" si="12"/>
        <v>0</v>
      </c>
      <c r="AZ60" s="439"/>
      <c r="BA60" s="582">
        <v>-98185.982267999963</v>
      </c>
      <c r="BB60" s="462">
        <f t="shared" si="7"/>
        <v>-409730.951069</v>
      </c>
      <c r="BC60" s="463">
        <f t="shared" si="16"/>
        <v>0</v>
      </c>
      <c r="BD60" s="431"/>
      <c r="BE60" s="435">
        <f t="shared" si="17"/>
        <v>0</v>
      </c>
    </row>
    <row r="61" spans="1:57" ht="15">
      <c r="A61" s="415">
        <v>55</v>
      </c>
      <c r="B61" s="415">
        <v>194</v>
      </c>
      <c r="C61" t="s">
        <v>501</v>
      </c>
      <c r="D61" t="s">
        <v>980</v>
      </c>
      <c r="E61" s="364">
        <v>-83731.017324000015</v>
      </c>
      <c r="F61" s="364">
        <v>-25371.245986000009</v>
      </c>
      <c r="G61" s="369">
        <v>-59065.188206000021</v>
      </c>
      <c r="H61" s="364">
        <v>-135970.02690600001</v>
      </c>
      <c r="I61" s="350">
        <f t="shared" si="0"/>
        <v>-304137.47842200007</v>
      </c>
      <c r="K61" s="66">
        <f t="shared" si="1"/>
        <v>0</v>
      </c>
      <c r="L61" s="66"/>
      <c r="M61" s="415">
        <v>55</v>
      </c>
      <c r="N61" s="415">
        <v>194</v>
      </c>
      <c r="O61" s="66" t="s">
        <v>501</v>
      </c>
      <c r="P61" t="s">
        <v>980</v>
      </c>
      <c r="Q61" s="364">
        <v>-135970.02690600001</v>
      </c>
      <c r="R61" t="s">
        <v>2580</v>
      </c>
      <c r="S61" s="250"/>
      <c r="T61" s="159">
        <f t="shared" si="10"/>
        <v>0</v>
      </c>
      <c r="U61" s="250"/>
      <c r="V61" s="415">
        <v>55</v>
      </c>
      <c r="W61" t="s">
        <v>501</v>
      </c>
      <c r="X61" t="s">
        <v>980</v>
      </c>
      <c r="Y61" s="364">
        <v>-79639.347268000012</v>
      </c>
      <c r="Z61" s="364">
        <v>-83731.017324000015</v>
      </c>
      <c r="AA61" s="369">
        <v>-25371.245986000009</v>
      </c>
      <c r="AB61" s="505">
        <v>-59065.188206000021</v>
      </c>
      <c r="AC61" s="350">
        <f t="shared" si="13"/>
        <v>-247806.79878400004</v>
      </c>
      <c r="AG61" s="159">
        <f t="shared" si="14"/>
        <v>0</v>
      </c>
      <c r="AI61" s="442" t="s">
        <v>501</v>
      </c>
      <c r="AJ61" t="s">
        <v>980</v>
      </c>
      <c r="AK61" s="364">
        <v>0</v>
      </c>
      <c r="AL61" s="364">
        <v>-83731.017324000015</v>
      </c>
      <c r="AM61" s="369">
        <v>-25371.245986000009</v>
      </c>
      <c r="AN61" s="505">
        <v>-59065.188206000021</v>
      </c>
      <c r="AO61" s="448">
        <v>-244659.18057800003</v>
      </c>
      <c r="AP61" s="448"/>
      <c r="AQ61" s="438"/>
      <c r="AR61" s="449">
        <f t="shared" si="15"/>
        <v>-168167.45151600003</v>
      </c>
      <c r="AS61" s="438"/>
      <c r="AT61" s="438"/>
      <c r="AU61" s="364">
        <v>-83731.017324000015</v>
      </c>
      <c r="AV61" s="369">
        <v>-25371.245986000009</v>
      </c>
      <c r="AW61" s="505">
        <v>-59065.188206000021</v>
      </c>
      <c r="AX61" s="452">
        <f t="shared" si="5"/>
        <v>-168167.45151600003</v>
      </c>
      <c r="AY61" s="250">
        <f t="shared" si="12"/>
        <v>0</v>
      </c>
      <c r="AZ61" s="439"/>
      <c r="BA61" s="582">
        <v>-135970.02690600001</v>
      </c>
      <c r="BB61" s="462">
        <f t="shared" si="7"/>
        <v>-304137.47842200007</v>
      </c>
      <c r="BC61" s="463">
        <f t="shared" si="16"/>
        <v>0</v>
      </c>
      <c r="BD61" s="431"/>
      <c r="BE61" s="435">
        <f t="shared" si="17"/>
        <v>0</v>
      </c>
    </row>
    <row r="62" spans="1:57" ht="15">
      <c r="A62" s="415">
        <v>56</v>
      </c>
      <c r="B62" s="415">
        <v>134</v>
      </c>
      <c r="C62" s="339" t="s">
        <v>384</v>
      </c>
      <c r="D62" s="340" t="s">
        <v>385</v>
      </c>
      <c r="E62" s="372"/>
      <c r="F62" s="363"/>
      <c r="G62" s="369">
        <v>0</v>
      </c>
      <c r="H62" s="364"/>
      <c r="I62" s="350">
        <f t="shared" si="0"/>
        <v>0</v>
      </c>
      <c r="K62" s="66">
        <f t="shared" si="1"/>
        <v>0</v>
      </c>
      <c r="L62" s="66"/>
      <c r="M62" s="415">
        <v>56</v>
      </c>
      <c r="N62" s="415">
        <v>134</v>
      </c>
      <c r="O62" s="339" t="s">
        <v>384</v>
      </c>
      <c r="P62" s="340" t="s">
        <v>385</v>
      </c>
      <c r="Q62" s="364"/>
      <c r="R62" t="s">
        <v>2580</v>
      </c>
      <c r="S62" s="250"/>
      <c r="T62" s="159">
        <f t="shared" si="10"/>
        <v>0</v>
      </c>
      <c r="U62" s="250"/>
      <c r="V62" s="415">
        <v>56</v>
      </c>
      <c r="W62" s="339" t="s">
        <v>384</v>
      </c>
      <c r="X62" s="340" t="s">
        <v>385</v>
      </c>
      <c r="Y62" s="372">
        <v>0</v>
      </c>
      <c r="Z62" s="363"/>
      <c r="AA62" s="369"/>
      <c r="AB62" s="505">
        <v>0</v>
      </c>
      <c r="AC62" s="350">
        <f t="shared" si="13"/>
        <v>0</v>
      </c>
      <c r="AG62" s="159">
        <f t="shared" si="14"/>
        <v>0</v>
      </c>
      <c r="AI62" s="442" t="s">
        <v>384</v>
      </c>
      <c r="AJ62" s="340" t="s">
        <v>385</v>
      </c>
      <c r="AK62" s="364">
        <v>0</v>
      </c>
      <c r="AL62" s="363"/>
      <c r="AM62" s="369"/>
      <c r="AN62" s="505">
        <v>0</v>
      </c>
      <c r="AO62" s="448">
        <v>0</v>
      </c>
      <c r="AP62" s="448"/>
      <c r="AQ62" s="438"/>
      <c r="AR62" s="449">
        <f t="shared" si="15"/>
        <v>0</v>
      </c>
      <c r="AS62" s="438"/>
      <c r="AT62" s="438"/>
      <c r="AU62" s="363"/>
      <c r="AV62" s="369"/>
      <c r="AW62" s="505">
        <v>0</v>
      </c>
      <c r="AX62" s="452">
        <f t="shared" si="5"/>
        <v>0</v>
      </c>
      <c r="AY62" s="250">
        <f t="shared" si="12"/>
        <v>0</v>
      </c>
      <c r="AZ62" s="439"/>
      <c r="BA62" s="582"/>
      <c r="BB62" s="462">
        <f t="shared" si="7"/>
        <v>0</v>
      </c>
      <c r="BC62" s="463">
        <f t="shared" si="16"/>
        <v>0</v>
      </c>
      <c r="BD62" s="431"/>
      <c r="BE62" s="435">
        <f t="shared" si="17"/>
        <v>0</v>
      </c>
    </row>
    <row r="63" spans="1:57" ht="15">
      <c r="A63" s="415">
        <v>57</v>
      </c>
      <c r="B63" s="415">
        <v>241</v>
      </c>
      <c r="C63" t="s">
        <v>586</v>
      </c>
      <c r="D63" t="s">
        <v>1015</v>
      </c>
      <c r="E63" s="364">
        <v>-38158.24188799999</v>
      </c>
      <c r="F63" s="364">
        <v>-130053.48798673521</v>
      </c>
      <c r="G63" s="369">
        <v>-114149.5358619999</v>
      </c>
      <c r="H63" s="364">
        <v>-163612.31780823693</v>
      </c>
      <c r="I63" s="350">
        <f t="shared" si="0"/>
        <v>-445973.583544972</v>
      </c>
      <c r="K63" s="66">
        <f t="shared" si="1"/>
        <v>0</v>
      </c>
      <c r="L63" s="66"/>
      <c r="M63" s="415">
        <v>57</v>
      </c>
      <c r="N63" s="415">
        <v>241</v>
      </c>
      <c r="O63" s="66" t="s">
        <v>586</v>
      </c>
      <c r="P63" t="s">
        <v>1015</v>
      </c>
      <c r="Q63" s="364">
        <v>-163612.31780823693</v>
      </c>
      <c r="R63" t="s">
        <v>2580</v>
      </c>
      <c r="S63" s="250"/>
      <c r="T63" s="159">
        <f t="shared" si="10"/>
        <v>0</v>
      </c>
      <c r="U63" s="250"/>
      <c r="V63" s="415">
        <v>57</v>
      </c>
      <c r="W63" t="s">
        <v>586</v>
      </c>
      <c r="X63" t="s">
        <v>1015</v>
      </c>
      <c r="Y63" s="364">
        <v>-46922.007001999969</v>
      </c>
      <c r="Z63" s="364">
        <v>-38158.24188799999</v>
      </c>
      <c r="AA63" s="369">
        <v>-130053.48798673521</v>
      </c>
      <c r="AB63" s="505">
        <v>-114149.5358619999</v>
      </c>
      <c r="AC63" s="350">
        <f t="shared" si="13"/>
        <v>-329283.27273873508</v>
      </c>
      <c r="AG63" s="159">
        <f t="shared" si="14"/>
        <v>0</v>
      </c>
      <c r="AI63" s="442" t="s">
        <v>586</v>
      </c>
      <c r="AJ63" t="s">
        <v>1015</v>
      </c>
      <c r="AK63" s="364">
        <v>0</v>
      </c>
      <c r="AL63" s="364">
        <v>-38158.24188799999</v>
      </c>
      <c r="AM63" s="369">
        <v>-130053.48798673521</v>
      </c>
      <c r="AN63" s="505">
        <v>-114149.5358619999</v>
      </c>
      <c r="AO63" s="448">
        <v>-269325.5768767352</v>
      </c>
      <c r="AP63" s="448"/>
      <c r="AQ63" s="438"/>
      <c r="AR63" s="449">
        <f t="shared" si="15"/>
        <v>-282361.26573673508</v>
      </c>
      <c r="AS63" s="438"/>
      <c r="AT63" s="438"/>
      <c r="AU63" s="364">
        <v>-38158.24188799999</v>
      </c>
      <c r="AV63" s="369">
        <v>-130053.48798673521</v>
      </c>
      <c r="AW63" s="505">
        <v>-114149.5358619999</v>
      </c>
      <c r="AX63" s="452">
        <f t="shared" si="5"/>
        <v>-282361.26573673508</v>
      </c>
      <c r="AY63" s="250">
        <f t="shared" si="12"/>
        <v>0</v>
      </c>
      <c r="AZ63" s="439"/>
      <c r="BA63" s="582">
        <v>-163612.31780823693</v>
      </c>
      <c r="BB63" s="462">
        <f t="shared" si="7"/>
        <v>-445973.583544972</v>
      </c>
      <c r="BC63" s="463">
        <f t="shared" si="16"/>
        <v>0</v>
      </c>
      <c r="BD63" s="431"/>
      <c r="BE63" s="435">
        <f t="shared" si="17"/>
        <v>0</v>
      </c>
    </row>
    <row r="64" spans="1:57" ht="15">
      <c r="A64" s="415">
        <v>58</v>
      </c>
      <c r="B64" s="415">
        <v>170</v>
      </c>
      <c r="C64" t="s">
        <v>456</v>
      </c>
      <c r="D64" t="s">
        <v>957</v>
      </c>
      <c r="E64" s="364">
        <v>0</v>
      </c>
      <c r="F64" s="364">
        <v>-61998.234067999896</v>
      </c>
      <c r="G64" s="369">
        <v>-15647.534125000006</v>
      </c>
      <c r="H64" s="364">
        <v>-99039.017744000012</v>
      </c>
      <c r="I64" s="350">
        <f t="shared" si="0"/>
        <v>-176684.78593699992</v>
      </c>
      <c r="K64" s="66">
        <f t="shared" si="1"/>
        <v>0</v>
      </c>
      <c r="L64" s="66"/>
      <c r="M64" s="415">
        <v>58</v>
      </c>
      <c r="N64" s="415">
        <v>170</v>
      </c>
      <c r="O64" s="66" t="s">
        <v>456</v>
      </c>
      <c r="P64" t="s">
        <v>957</v>
      </c>
      <c r="Q64" s="364">
        <v>-99039.017744000012</v>
      </c>
      <c r="R64" t="s">
        <v>2580</v>
      </c>
      <c r="S64" s="250"/>
      <c r="T64" s="159">
        <f t="shared" si="10"/>
        <v>0</v>
      </c>
      <c r="U64" s="250"/>
      <c r="V64" s="415">
        <v>58</v>
      </c>
      <c r="W64" t="s">
        <v>456</v>
      </c>
      <c r="X64" t="s">
        <v>957</v>
      </c>
      <c r="Y64" s="364">
        <v>0</v>
      </c>
      <c r="Z64" s="364">
        <v>0</v>
      </c>
      <c r="AA64" s="369">
        <v>-61998.234067999896</v>
      </c>
      <c r="AB64" s="505">
        <v>-15647.534125000006</v>
      </c>
      <c r="AC64" s="350">
        <f t="shared" si="13"/>
        <v>-77645.768192999909</v>
      </c>
      <c r="AG64" s="159">
        <f t="shared" si="14"/>
        <v>0</v>
      </c>
      <c r="AI64" s="442" t="s">
        <v>456</v>
      </c>
      <c r="AJ64" t="s">
        <v>957</v>
      </c>
      <c r="AK64" s="364">
        <v>0</v>
      </c>
      <c r="AL64" s="364">
        <v>0</v>
      </c>
      <c r="AM64" s="369">
        <v>-61998.234067999896</v>
      </c>
      <c r="AN64" s="505">
        <v>-15647.534125000006</v>
      </c>
      <c r="AO64" s="448">
        <v>-157829.86406799991</v>
      </c>
      <c r="AP64" s="448"/>
      <c r="AQ64" s="438"/>
      <c r="AR64" s="449">
        <f t="shared" si="15"/>
        <v>-77645.768192999909</v>
      </c>
      <c r="AS64" s="438"/>
      <c r="AT64" s="438"/>
      <c r="AU64" s="364">
        <v>0</v>
      </c>
      <c r="AV64" s="369">
        <v>-61998.234067999896</v>
      </c>
      <c r="AW64" s="505">
        <v>-15647.534125000006</v>
      </c>
      <c r="AX64" s="452">
        <f t="shared" si="5"/>
        <v>-77645.768192999909</v>
      </c>
      <c r="AY64" s="250">
        <f t="shared" si="12"/>
        <v>0</v>
      </c>
      <c r="AZ64" s="439"/>
      <c r="BA64" s="582">
        <v>-99039.017744000012</v>
      </c>
      <c r="BB64" s="462">
        <f t="shared" si="7"/>
        <v>-176684.78593699992</v>
      </c>
      <c r="BC64" s="463">
        <f t="shared" si="16"/>
        <v>0</v>
      </c>
      <c r="BD64" s="431"/>
      <c r="BE64" s="435">
        <f t="shared" si="17"/>
        <v>0</v>
      </c>
    </row>
    <row r="65" spans="1:57" ht="15">
      <c r="A65" s="415">
        <v>59</v>
      </c>
      <c r="B65" s="415">
        <v>41</v>
      </c>
      <c r="C65" t="s">
        <v>229</v>
      </c>
      <c r="D65" t="s">
        <v>856</v>
      </c>
      <c r="E65" s="364">
        <v>-71530.904385000002</v>
      </c>
      <c r="F65" s="364">
        <v>-85886.329729999998</v>
      </c>
      <c r="G65" s="369">
        <v>-88425.917358000006</v>
      </c>
      <c r="H65" s="364">
        <v>-106009.92219899991</v>
      </c>
      <c r="I65" s="350">
        <f t="shared" si="0"/>
        <v>-351853.07367199991</v>
      </c>
      <c r="K65" s="66">
        <f t="shared" si="1"/>
        <v>0</v>
      </c>
      <c r="L65" s="66"/>
      <c r="M65" s="415">
        <v>59</v>
      </c>
      <c r="N65" s="415">
        <v>41</v>
      </c>
      <c r="O65" s="66" t="s">
        <v>229</v>
      </c>
      <c r="P65" t="s">
        <v>856</v>
      </c>
      <c r="Q65" s="364">
        <v>-106009.92219899991</v>
      </c>
      <c r="R65" t="s">
        <v>2580</v>
      </c>
      <c r="S65" s="250"/>
      <c r="T65" s="159">
        <f t="shared" si="10"/>
        <v>0</v>
      </c>
      <c r="U65" s="250"/>
      <c r="V65" s="415">
        <v>59</v>
      </c>
      <c r="W65" t="s">
        <v>229</v>
      </c>
      <c r="X65" t="s">
        <v>856</v>
      </c>
      <c r="Y65" s="364">
        <v>-72005.365409999999</v>
      </c>
      <c r="Z65" s="364">
        <v>-71530.904385000002</v>
      </c>
      <c r="AA65" s="369">
        <v>-85886.329729999998</v>
      </c>
      <c r="AB65" s="505">
        <v>-88425.917358000006</v>
      </c>
      <c r="AC65" s="350">
        <f t="shared" si="13"/>
        <v>-317848.51688300003</v>
      </c>
      <c r="AG65" s="159">
        <f t="shared" si="14"/>
        <v>0</v>
      </c>
      <c r="AI65" s="442" t="s">
        <v>229</v>
      </c>
      <c r="AJ65" t="s">
        <v>856</v>
      </c>
      <c r="AK65" s="364">
        <v>0</v>
      </c>
      <c r="AL65" s="364">
        <v>-71530.904385000002</v>
      </c>
      <c r="AM65" s="369">
        <v>-85886.329729999998</v>
      </c>
      <c r="AN65" s="505">
        <v>-88425.917358000006</v>
      </c>
      <c r="AO65" s="448">
        <v>-306820.79952499998</v>
      </c>
      <c r="AP65" s="448"/>
      <c r="AQ65" s="438"/>
      <c r="AR65" s="449">
        <f t="shared" si="15"/>
        <v>-245843.15147300001</v>
      </c>
      <c r="AS65" s="438"/>
      <c r="AT65" s="438"/>
      <c r="AU65" s="364">
        <v>-71530.904385000002</v>
      </c>
      <c r="AV65" s="369">
        <v>-85886.329729999998</v>
      </c>
      <c r="AW65" s="505">
        <v>-88425.917358000006</v>
      </c>
      <c r="AX65" s="452">
        <f t="shared" si="5"/>
        <v>-245843.15147300001</v>
      </c>
      <c r="AY65" s="250">
        <f t="shared" si="12"/>
        <v>0</v>
      </c>
      <c r="AZ65" s="439"/>
      <c r="BA65" s="582">
        <v>-106009.92219899991</v>
      </c>
      <c r="BB65" s="462">
        <f t="shared" si="7"/>
        <v>-351853.07367199991</v>
      </c>
      <c r="BC65" s="463">
        <f t="shared" si="16"/>
        <v>0</v>
      </c>
      <c r="BD65" s="431"/>
      <c r="BE65" s="435">
        <f t="shared" si="17"/>
        <v>0</v>
      </c>
    </row>
    <row r="66" spans="1:57" ht="15">
      <c r="A66" s="415">
        <v>60</v>
      </c>
      <c r="B66" s="415">
        <v>256</v>
      </c>
      <c r="C66" t="s">
        <v>614</v>
      </c>
      <c r="D66" t="s">
        <v>1025</v>
      </c>
      <c r="E66" s="364">
        <v>0</v>
      </c>
      <c r="F66" s="364">
        <v>7911.23</v>
      </c>
      <c r="G66" s="369">
        <v>124018.47572799982</v>
      </c>
      <c r="H66" s="364">
        <v>-57841.018718000269</v>
      </c>
      <c r="I66" s="350">
        <f t="shared" si="0"/>
        <v>74088.687009999558</v>
      </c>
      <c r="K66" s="66">
        <f t="shared" si="1"/>
        <v>0</v>
      </c>
      <c r="L66" s="66"/>
      <c r="M66" s="415">
        <v>60</v>
      </c>
      <c r="N66" s="415">
        <v>256</v>
      </c>
      <c r="O66" s="66" t="s">
        <v>614</v>
      </c>
      <c r="P66" t="s">
        <v>1025</v>
      </c>
      <c r="Q66" s="364">
        <v>-57841.018718000269</v>
      </c>
      <c r="R66" t="s">
        <v>2580</v>
      </c>
      <c r="S66" s="250"/>
      <c r="T66" s="159">
        <f t="shared" si="10"/>
        <v>0</v>
      </c>
      <c r="U66" s="250"/>
      <c r="V66" s="415">
        <v>60</v>
      </c>
      <c r="W66" t="s">
        <v>614</v>
      </c>
      <c r="X66" t="s">
        <v>1025</v>
      </c>
      <c r="Y66" s="364">
        <v>-94560.841037000035</v>
      </c>
      <c r="Z66" s="364">
        <v>59965.175989999872</v>
      </c>
      <c r="AA66" s="369">
        <v>42506.891979000196</v>
      </c>
      <c r="AB66" s="505">
        <v>124018.47572799982</v>
      </c>
      <c r="AC66" s="350">
        <f t="shared" si="13"/>
        <v>131929.70265999984</v>
      </c>
      <c r="AG66" s="159">
        <f t="shared" si="14"/>
        <v>0</v>
      </c>
      <c r="AI66" s="442" t="s">
        <v>614</v>
      </c>
      <c r="AJ66" t="s">
        <v>1025</v>
      </c>
      <c r="AK66" s="364">
        <v>0</v>
      </c>
      <c r="AL66" s="364">
        <v>0</v>
      </c>
      <c r="AM66" s="369">
        <v>7911.23</v>
      </c>
      <c r="AN66" s="505">
        <v>124018.47572799982</v>
      </c>
      <c r="AO66" s="581">
        <f>SUM(AK66:AN66)</f>
        <v>131929.70572799983</v>
      </c>
      <c r="AP66" s="448">
        <f>+AK66+AL66+AM66</f>
        <v>7911.23</v>
      </c>
      <c r="AQ66" s="438"/>
      <c r="AR66" s="449">
        <f t="shared" si="15"/>
        <v>131929.70572799983</v>
      </c>
      <c r="AS66" s="438"/>
      <c r="AT66" s="438"/>
      <c r="AU66" s="364">
        <v>0</v>
      </c>
      <c r="AV66" s="369">
        <v>7911.23</v>
      </c>
      <c r="AW66" s="505">
        <v>124018.47572799982</v>
      </c>
      <c r="AX66" s="452">
        <f t="shared" si="5"/>
        <v>131929.70572799983</v>
      </c>
      <c r="AY66" s="250">
        <f t="shared" si="12"/>
        <v>0</v>
      </c>
      <c r="AZ66" s="439"/>
      <c r="BA66" s="582">
        <v>-57841.018718000269</v>
      </c>
      <c r="BB66" s="462">
        <f t="shared" si="7"/>
        <v>74088.687009999558</v>
      </c>
      <c r="BC66" s="463">
        <f t="shared" si="16"/>
        <v>0</v>
      </c>
      <c r="BD66" s="431"/>
      <c r="BE66" s="435">
        <f t="shared" si="17"/>
        <v>0</v>
      </c>
    </row>
    <row r="67" spans="1:57" ht="15">
      <c r="A67" s="415">
        <v>61</v>
      </c>
      <c r="B67" s="415">
        <v>202</v>
      </c>
      <c r="C67" t="s">
        <v>517</v>
      </c>
      <c r="D67" t="s">
        <v>988</v>
      </c>
      <c r="E67" s="364">
        <v>8697.6772240000937</v>
      </c>
      <c r="F67" s="364">
        <v>-70688.591385999927</v>
      </c>
      <c r="G67" s="369">
        <v>-159606.51664000016</v>
      </c>
      <c r="H67" s="364">
        <v>-341514.97202999995</v>
      </c>
      <c r="I67" s="350">
        <f t="shared" si="0"/>
        <v>-563112.40283199993</v>
      </c>
      <c r="K67" s="66">
        <f t="shared" si="1"/>
        <v>0</v>
      </c>
      <c r="L67" s="66"/>
      <c r="M67" s="415">
        <v>61</v>
      </c>
      <c r="N67" s="415">
        <v>202</v>
      </c>
      <c r="O67" s="66" t="s">
        <v>517</v>
      </c>
      <c r="P67" t="s">
        <v>988</v>
      </c>
      <c r="Q67" s="364">
        <v>-341514.97202999995</v>
      </c>
      <c r="R67" t="s">
        <v>2580</v>
      </c>
      <c r="S67" s="250"/>
      <c r="T67" s="159">
        <f t="shared" si="10"/>
        <v>0</v>
      </c>
      <c r="U67" s="250"/>
      <c r="V67" s="415">
        <v>61</v>
      </c>
      <c r="W67" t="s">
        <v>517</v>
      </c>
      <c r="X67" t="s">
        <v>988</v>
      </c>
      <c r="Y67" s="364">
        <v>-21493.775479999986</v>
      </c>
      <c r="Z67" s="364">
        <v>8697.6772240000937</v>
      </c>
      <c r="AA67" s="369">
        <v>-70688.591385999927</v>
      </c>
      <c r="AB67" s="505">
        <v>-159606.51664000016</v>
      </c>
      <c r="AC67" s="350">
        <f t="shared" si="13"/>
        <v>-243091.206282</v>
      </c>
      <c r="AG67" s="159">
        <f t="shared" si="14"/>
        <v>0</v>
      </c>
      <c r="AI67" s="442" t="s">
        <v>517</v>
      </c>
      <c r="AJ67" t="s">
        <v>988</v>
      </c>
      <c r="AK67" s="364">
        <v>0</v>
      </c>
      <c r="AL67" s="364">
        <v>8697.6772240000937</v>
      </c>
      <c r="AM67" s="369">
        <v>-70688.591385999927</v>
      </c>
      <c r="AN67" s="505">
        <v>-159606.51664000016</v>
      </c>
      <c r="AO67" s="448">
        <v>-141795.04964199982</v>
      </c>
      <c r="AP67" s="448"/>
      <c r="AQ67" s="438"/>
      <c r="AR67" s="449">
        <f t="shared" si="15"/>
        <v>-221597.43080199999</v>
      </c>
      <c r="AS67" s="438"/>
      <c r="AT67" s="438"/>
      <c r="AU67" s="364">
        <v>8697.6772240000937</v>
      </c>
      <c r="AV67" s="369">
        <v>-70688.591385999927</v>
      </c>
      <c r="AW67" s="505">
        <v>-159606.51664000016</v>
      </c>
      <c r="AX67" s="452">
        <f t="shared" si="5"/>
        <v>-221597.43080199999</v>
      </c>
      <c r="AY67" s="250">
        <f t="shared" si="12"/>
        <v>0</v>
      </c>
      <c r="AZ67" s="439"/>
      <c r="BA67" s="582">
        <v>-341514.97202999995</v>
      </c>
      <c r="BB67" s="462">
        <f t="shared" si="7"/>
        <v>-563112.40283199993</v>
      </c>
      <c r="BC67" s="463">
        <f t="shared" si="16"/>
        <v>0</v>
      </c>
      <c r="BD67" s="431"/>
      <c r="BE67" s="435">
        <f t="shared" si="17"/>
        <v>0</v>
      </c>
    </row>
    <row r="68" spans="1:57" ht="15">
      <c r="A68" s="415">
        <v>62</v>
      </c>
      <c r="B68" s="415">
        <v>285</v>
      </c>
      <c r="C68" t="s">
        <v>658</v>
      </c>
      <c r="D68" t="s">
        <v>1046</v>
      </c>
      <c r="E68" s="364">
        <v>-57052.240794999991</v>
      </c>
      <c r="F68" s="364">
        <v>-61832.173638999986</v>
      </c>
      <c r="G68" s="369">
        <v>-43856.619194999992</v>
      </c>
      <c r="H68" s="364">
        <v>-73574.776527000009</v>
      </c>
      <c r="I68" s="350">
        <f t="shared" si="0"/>
        <v>-236315.81015599996</v>
      </c>
      <c r="K68" s="66">
        <f t="shared" si="1"/>
        <v>0</v>
      </c>
      <c r="L68" s="66"/>
      <c r="M68" s="415">
        <v>62</v>
      </c>
      <c r="N68" s="415">
        <v>285</v>
      </c>
      <c r="O68" s="66" t="s">
        <v>658</v>
      </c>
      <c r="P68" t="s">
        <v>1046</v>
      </c>
      <c r="Q68" s="364">
        <v>-73574.776527000009</v>
      </c>
      <c r="R68" t="s">
        <v>2580</v>
      </c>
      <c r="S68" s="250"/>
      <c r="T68" s="159">
        <f t="shared" si="10"/>
        <v>0</v>
      </c>
      <c r="U68" s="250"/>
      <c r="V68" s="415">
        <v>62</v>
      </c>
      <c r="W68" t="s">
        <v>658</v>
      </c>
      <c r="X68" t="s">
        <v>1046</v>
      </c>
      <c r="Y68" s="364">
        <v>-52168.308032000001</v>
      </c>
      <c r="Z68" s="364">
        <v>-57052.240794999991</v>
      </c>
      <c r="AA68" s="369">
        <v>-61832.173638999986</v>
      </c>
      <c r="AB68" s="505">
        <v>-43856.619194999992</v>
      </c>
      <c r="AC68" s="350">
        <f t="shared" si="13"/>
        <v>-214909.34166099998</v>
      </c>
      <c r="AG68" s="159">
        <f t="shared" si="14"/>
        <v>0</v>
      </c>
      <c r="AI68" s="442" t="s">
        <v>658</v>
      </c>
      <c r="AJ68" t="s">
        <v>1046</v>
      </c>
      <c r="AK68" s="364">
        <v>0</v>
      </c>
      <c r="AL68" s="364">
        <v>-57052.240794999991</v>
      </c>
      <c r="AM68" s="369">
        <v>-61832.173638999986</v>
      </c>
      <c r="AN68" s="505">
        <v>-43856.619194999992</v>
      </c>
      <c r="AO68" s="448">
        <v>-227195.55246599996</v>
      </c>
      <c r="AP68" s="448"/>
      <c r="AQ68" s="438"/>
      <c r="AR68" s="449">
        <f t="shared" si="15"/>
        <v>-162741.03362899995</v>
      </c>
      <c r="AS68" s="438"/>
      <c r="AT68" s="438"/>
      <c r="AU68" s="364">
        <v>-57052.240794999991</v>
      </c>
      <c r="AV68" s="369">
        <v>-61832.173638999986</v>
      </c>
      <c r="AW68" s="505">
        <v>-43856.619194999992</v>
      </c>
      <c r="AX68" s="452">
        <f t="shared" si="5"/>
        <v>-162741.03362899995</v>
      </c>
      <c r="AY68" s="250">
        <f t="shared" si="12"/>
        <v>0</v>
      </c>
      <c r="AZ68" s="439"/>
      <c r="BA68" s="582">
        <v>-73574.776527000009</v>
      </c>
      <c r="BB68" s="462">
        <f t="shared" si="7"/>
        <v>-236315.81015599996</v>
      </c>
      <c r="BC68" s="463">
        <f t="shared" si="16"/>
        <v>0</v>
      </c>
      <c r="BD68" s="431"/>
      <c r="BE68" s="435">
        <f t="shared" si="17"/>
        <v>0</v>
      </c>
    </row>
    <row r="69" spans="1:57" ht="15">
      <c r="A69" s="415">
        <v>63</v>
      </c>
      <c r="B69" s="415">
        <v>317</v>
      </c>
      <c r="C69" t="s">
        <v>717</v>
      </c>
      <c r="D69" t="s">
        <v>1630</v>
      </c>
      <c r="E69" s="364">
        <v>363197.27</v>
      </c>
      <c r="F69" s="364">
        <v>265580.61288600031</v>
      </c>
      <c r="G69" s="369">
        <v>-74753.052525000181</v>
      </c>
      <c r="H69" s="364">
        <v>342926.59736399958</v>
      </c>
      <c r="I69" s="350">
        <f t="shared" si="0"/>
        <v>896951.42772499972</v>
      </c>
      <c r="K69" s="66">
        <f t="shared" si="1"/>
        <v>0</v>
      </c>
      <c r="L69" s="66"/>
      <c r="M69" s="415">
        <v>63</v>
      </c>
      <c r="N69" s="415">
        <v>317</v>
      </c>
      <c r="O69" s="66" t="s">
        <v>717</v>
      </c>
      <c r="P69" t="s">
        <v>1630</v>
      </c>
      <c r="Q69" s="364">
        <v>342926.59736399958</v>
      </c>
      <c r="R69" t="s">
        <v>2580</v>
      </c>
      <c r="S69" s="250"/>
      <c r="T69" s="159">
        <f t="shared" si="10"/>
        <v>0</v>
      </c>
      <c r="U69" s="250"/>
      <c r="V69" s="415">
        <v>63</v>
      </c>
      <c r="W69" t="s">
        <v>717</v>
      </c>
      <c r="X69" t="s">
        <v>1630</v>
      </c>
      <c r="Y69" s="364">
        <v>6893.4048280001152</v>
      </c>
      <c r="Z69" s="364">
        <v>356303.8603800002</v>
      </c>
      <c r="AA69" s="369">
        <v>265580.61288600031</v>
      </c>
      <c r="AB69" s="505">
        <v>-74753.052525000181</v>
      </c>
      <c r="AC69" s="350">
        <f t="shared" si="13"/>
        <v>554024.82556900044</v>
      </c>
      <c r="AG69" s="159">
        <f t="shared" si="14"/>
        <v>0</v>
      </c>
      <c r="AI69" s="442" t="s">
        <v>717</v>
      </c>
      <c r="AJ69" t="s">
        <v>1630</v>
      </c>
      <c r="AK69" s="364">
        <v>0</v>
      </c>
      <c r="AL69" s="364">
        <v>363197.27</v>
      </c>
      <c r="AM69" s="369">
        <v>265580.61288600031</v>
      </c>
      <c r="AN69" s="505">
        <v>-74753.052525000181</v>
      </c>
      <c r="AO69" s="448">
        <v>628777.87809400063</v>
      </c>
      <c r="AP69" s="448">
        <f>+AK69+AL69</f>
        <v>363197.27</v>
      </c>
      <c r="AQ69" s="438"/>
      <c r="AR69" s="449">
        <f t="shared" si="15"/>
        <v>554024.83036100015</v>
      </c>
      <c r="AS69" s="438"/>
      <c r="AT69" s="438"/>
      <c r="AU69" s="364">
        <v>363197.27</v>
      </c>
      <c r="AV69" s="369">
        <v>265580.61288600031</v>
      </c>
      <c r="AW69" s="505">
        <v>-74753.052525000181</v>
      </c>
      <c r="AX69" s="452">
        <f t="shared" si="5"/>
        <v>554024.83036100015</v>
      </c>
      <c r="AY69" s="250">
        <f t="shared" si="12"/>
        <v>0</v>
      </c>
      <c r="AZ69" s="439"/>
      <c r="BA69" s="582">
        <v>342926.59736399958</v>
      </c>
      <c r="BB69" s="462">
        <f t="shared" si="7"/>
        <v>896951.42772499972</v>
      </c>
      <c r="BC69" s="463">
        <f t="shared" si="16"/>
        <v>0</v>
      </c>
      <c r="BD69" s="431"/>
      <c r="BE69" s="435">
        <f t="shared" si="17"/>
        <v>0</v>
      </c>
    </row>
    <row r="70" spans="1:57" ht="15">
      <c r="A70" s="415">
        <v>64</v>
      </c>
      <c r="B70" s="415">
        <v>253</v>
      </c>
      <c r="C70" t="s">
        <v>610</v>
      </c>
      <c r="D70" t="s">
        <v>1623</v>
      </c>
      <c r="E70" s="364">
        <v>-249327.71759000001</v>
      </c>
      <c r="F70" s="364">
        <v>-540544.20715799951</v>
      </c>
      <c r="G70" s="369">
        <v>-428772.27604499971</v>
      </c>
      <c r="H70" s="364">
        <v>-459064.04399200063</v>
      </c>
      <c r="I70" s="350">
        <f t="shared" si="0"/>
        <v>-1677708.2447849999</v>
      </c>
      <c r="K70" s="66">
        <f t="shared" si="1"/>
        <v>0</v>
      </c>
      <c r="L70" s="66"/>
      <c r="M70" s="415">
        <v>64</v>
      </c>
      <c r="N70" s="415">
        <v>253</v>
      </c>
      <c r="O70" s="66" t="s">
        <v>610</v>
      </c>
      <c r="P70" t="s">
        <v>1623</v>
      </c>
      <c r="Q70" s="364">
        <v>-459064.04399200063</v>
      </c>
      <c r="R70" t="s">
        <v>2580</v>
      </c>
      <c r="S70" s="250"/>
      <c r="T70" s="159">
        <f t="shared" si="10"/>
        <v>0</v>
      </c>
      <c r="U70" s="250"/>
      <c r="V70" s="415">
        <v>64</v>
      </c>
      <c r="W70" t="s">
        <v>610</v>
      </c>
      <c r="X70" t="s">
        <v>1623</v>
      </c>
      <c r="Y70" s="364">
        <v>-527263.52337600011</v>
      </c>
      <c r="Z70" s="364">
        <v>-249327.71759000001</v>
      </c>
      <c r="AA70" s="369">
        <v>-540544.20715799951</v>
      </c>
      <c r="AB70" s="505">
        <v>-428772.27604499971</v>
      </c>
      <c r="AC70" s="350">
        <f t="shared" si="13"/>
        <v>-1745907.7241689994</v>
      </c>
      <c r="AG70" s="159">
        <f t="shared" si="14"/>
        <v>0</v>
      </c>
      <c r="AI70" s="442" t="s">
        <v>610</v>
      </c>
      <c r="AJ70" t="s">
        <v>1623</v>
      </c>
      <c r="AK70" s="364">
        <v>0</v>
      </c>
      <c r="AL70" s="364">
        <v>-249327.71759000001</v>
      </c>
      <c r="AM70" s="369">
        <v>-540544.20715799951</v>
      </c>
      <c r="AN70" s="505">
        <v>-428772.27604499971</v>
      </c>
      <c r="AO70" s="448">
        <v>-1882158.9881239997</v>
      </c>
      <c r="AP70" s="448"/>
      <c r="AQ70" s="438"/>
      <c r="AR70" s="449">
        <f t="shared" si="15"/>
        <v>-1218644.2007929992</v>
      </c>
      <c r="AS70" s="438"/>
      <c r="AT70" s="438"/>
      <c r="AU70" s="364">
        <v>-249327.71759000001</v>
      </c>
      <c r="AV70" s="369">
        <v>-540544.20715799951</v>
      </c>
      <c r="AW70" s="505">
        <v>-428772.27604499971</v>
      </c>
      <c r="AX70" s="452">
        <f t="shared" si="5"/>
        <v>-1218644.2007929992</v>
      </c>
      <c r="AY70" s="250">
        <f t="shared" si="12"/>
        <v>0</v>
      </c>
      <c r="AZ70" s="439"/>
      <c r="BA70" s="582">
        <v>-459064.04399200063</v>
      </c>
      <c r="BB70" s="462">
        <f t="shared" si="7"/>
        <v>-1677708.2447849999</v>
      </c>
      <c r="BC70" s="463">
        <f t="shared" si="16"/>
        <v>0</v>
      </c>
      <c r="BD70" s="431"/>
      <c r="BE70" s="435">
        <f t="shared" si="17"/>
        <v>0</v>
      </c>
    </row>
    <row r="71" spans="1:57" ht="15">
      <c r="A71" s="415">
        <v>65</v>
      </c>
      <c r="B71" s="415">
        <v>52</v>
      </c>
      <c r="C71" t="s">
        <v>251</v>
      </c>
      <c r="D71" t="s">
        <v>866</v>
      </c>
      <c r="E71" s="364">
        <v>571172.03</v>
      </c>
      <c r="F71" s="364">
        <v>458825.5099319999</v>
      </c>
      <c r="G71" s="369">
        <v>63734.2022119998</v>
      </c>
      <c r="H71" s="364">
        <v>133062.64306499995</v>
      </c>
      <c r="I71" s="350">
        <f t="shared" ref="I71:I134" si="18">SUM(E71:H71)</f>
        <v>1226794.3852089997</v>
      </c>
      <c r="K71" s="66">
        <f t="shared" ref="K71:K134" si="19">+O71-C71</f>
        <v>0</v>
      </c>
      <c r="L71" s="66"/>
      <c r="M71" s="415">
        <v>65</v>
      </c>
      <c r="N71" s="415">
        <v>52</v>
      </c>
      <c r="O71" s="66" t="s">
        <v>251</v>
      </c>
      <c r="P71" t="s">
        <v>866</v>
      </c>
      <c r="Q71" s="364">
        <v>133062.64306499995</v>
      </c>
      <c r="R71" t="s">
        <v>2580</v>
      </c>
      <c r="S71" s="250"/>
      <c r="T71" s="159">
        <f t="shared" si="10"/>
        <v>0</v>
      </c>
      <c r="U71" s="250"/>
      <c r="V71" s="415">
        <v>65</v>
      </c>
      <c r="W71" t="s">
        <v>251</v>
      </c>
      <c r="X71" t="s">
        <v>866</v>
      </c>
      <c r="Y71" s="364">
        <v>161844.95286399976</v>
      </c>
      <c r="Z71" s="364">
        <v>409327.07482199976</v>
      </c>
      <c r="AA71" s="369">
        <v>458825.5099319999</v>
      </c>
      <c r="AB71" s="505">
        <v>63734.2022119998</v>
      </c>
      <c r="AC71" s="350">
        <f t="shared" ref="AC71:AC102" si="20">SUM(Y71:AB71)</f>
        <v>1093731.7398299992</v>
      </c>
      <c r="AG71" s="159">
        <f t="shared" ref="AG71:AG102" si="21">+AI71-W71</f>
        <v>0</v>
      </c>
      <c r="AI71" s="442" t="s">
        <v>251</v>
      </c>
      <c r="AJ71" t="s">
        <v>866</v>
      </c>
      <c r="AK71" s="364">
        <v>0</v>
      </c>
      <c r="AL71" s="364">
        <v>571172.03</v>
      </c>
      <c r="AM71" s="369">
        <v>458825.5099319999</v>
      </c>
      <c r="AN71" s="505">
        <v>63734.2022119998</v>
      </c>
      <c r="AO71" s="448">
        <v>1029997.5376179994</v>
      </c>
      <c r="AP71" s="448">
        <f>+AK71+AL71</f>
        <v>571172.03</v>
      </c>
      <c r="AQ71" s="438"/>
      <c r="AR71" s="449">
        <f t="shared" ref="AR71:AR89" si="22">SUM(AL71:AN71)</f>
        <v>1093731.7421439998</v>
      </c>
      <c r="AS71" s="438"/>
      <c r="AT71" s="438"/>
      <c r="AU71" s="364">
        <v>571172.03</v>
      </c>
      <c r="AV71" s="369">
        <v>458825.5099319999</v>
      </c>
      <c r="AW71" s="505">
        <v>63734.2022119998</v>
      </c>
      <c r="AX71" s="452">
        <f t="shared" ref="AX71:AX134" si="23">SUM(AU71:AW71)</f>
        <v>1093731.7421439998</v>
      </c>
      <c r="AY71" s="250">
        <f t="shared" si="12"/>
        <v>0</v>
      </c>
      <c r="AZ71" s="439"/>
      <c r="BA71" s="582">
        <v>133062.64306499995</v>
      </c>
      <c r="BB71" s="462">
        <f t="shared" ref="BB71:BB134" si="24">+BA71+AX71</f>
        <v>1226794.3852089997</v>
      </c>
      <c r="BC71" s="463">
        <f t="shared" ref="BC71:BC102" si="25">+BB71-I71</f>
        <v>0</v>
      </c>
      <c r="BD71" s="431"/>
      <c r="BE71" s="435">
        <f t="shared" ref="BE71:BE102" si="26">+O71-C71</f>
        <v>0</v>
      </c>
    </row>
    <row r="72" spans="1:57" ht="15">
      <c r="A72" s="415">
        <v>66</v>
      </c>
      <c r="B72" s="415">
        <v>135</v>
      </c>
      <c r="C72" t="s">
        <v>386</v>
      </c>
      <c r="D72" t="s">
        <v>929</v>
      </c>
      <c r="E72" s="364">
        <v>-74203.950406000018</v>
      </c>
      <c r="F72" s="364">
        <v>-103075.77296400002</v>
      </c>
      <c r="G72" s="369">
        <v>-129646.62784</v>
      </c>
      <c r="H72" s="364">
        <v>-106932.79168800001</v>
      </c>
      <c r="I72" s="350">
        <f t="shared" si="18"/>
        <v>-413859.14289800002</v>
      </c>
      <c r="K72" s="66">
        <f t="shared" si="19"/>
        <v>0</v>
      </c>
      <c r="L72" s="66"/>
      <c r="M72" s="415">
        <v>66</v>
      </c>
      <c r="N72" s="415">
        <v>135</v>
      </c>
      <c r="O72" s="66" t="s">
        <v>386</v>
      </c>
      <c r="P72" t="s">
        <v>929</v>
      </c>
      <c r="Q72" s="364">
        <v>-106932.79168800001</v>
      </c>
      <c r="R72" t="s">
        <v>2580</v>
      </c>
      <c r="S72" s="250"/>
      <c r="T72" s="159">
        <f t="shared" ref="T72:T135" si="27">+W72-C72</f>
        <v>0</v>
      </c>
      <c r="U72" s="250"/>
      <c r="V72" s="415">
        <v>66</v>
      </c>
      <c r="W72" t="s">
        <v>386</v>
      </c>
      <c r="X72" t="s">
        <v>929</v>
      </c>
      <c r="Y72" s="364">
        <v>-91070.628255000018</v>
      </c>
      <c r="Z72" s="364">
        <v>-74203.950406000018</v>
      </c>
      <c r="AA72" s="369">
        <v>-103075.77296400002</v>
      </c>
      <c r="AB72" s="505">
        <v>-129646.62784</v>
      </c>
      <c r="AC72" s="350">
        <f t="shared" si="20"/>
        <v>-397996.9794650001</v>
      </c>
      <c r="AG72" s="159">
        <f t="shared" si="21"/>
        <v>0</v>
      </c>
      <c r="AI72" s="442" t="s">
        <v>386</v>
      </c>
      <c r="AJ72" t="s">
        <v>929</v>
      </c>
      <c r="AK72" s="364">
        <v>0</v>
      </c>
      <c r="AL72" s="364">
        <v>-74203.950406000018</v>
      </c>
      <c r="AM72" s="369">
        <v>-103075.77296400002</v>
      </c>
      <c r="AN72" s="505">
        <v>-129646.62784</v>
      </c>
      <c r="AO72" s="448">
        <v>-310656.06162500003</v>
      </c>
      <c r="AP72" s="448"/>
      <c r="AQ72" s="438"/>
      <c r="AR72" s="449">
        <f t="shared" si="22"/>
        <v>-306926.35120999999</v>
      </c>
      <c r="AS72" s="438"/>
      <c r="AT72" s="438"/>
      <c r="AU72" s="364">
        <v>-74203.950406000018</v>
      </c>
      <c r="AV72" s="369">
        <v>-103075.77296400002</v>
      </c>
      <c r="AW72" s="505">
        <v>-129646.62784</v>
      </c>
      <c r="AX72" s="452">
        <f t="shared" si="23"/>
        <v>-306926.35120999999</v>
      </c>
      <c r="AY72" s="250">
        <f t="shared" si="12"/>
        <v>0</v>
      </c>
      <c r="AZ72" s="439"/>
      <c r="BA72" s="582">
        <v>-106932.79168800001</v>
      </c>
      <c r="BB72" s="462">
        <f t="shared" si="24"/>
        <v>-413859.14289800002</v>
      </c>
      <c r="BC72" s="463">
        <f t="shared" si="25"/>
        <v>0</v>
      </c>
      <c r="BD72" s="431"/>
      <c r="BE72" s="435">
        <f t="shared" si="26"/>
        <v>0</v>
      </c>
    </row>
    <row r="73" spans="1:57" ht="15">
      <c r="A73" s="415">
        <v>67</v>
      </c>
      <c r="B73" s="415">
        <v>208</v>
      </c>
      <c r="C73" t="s">
        <v>529</v>
      </c>
      <c r="D73" t="s">
        <v>994</v>
      </c>
      <c r="E73" s="364">
        <v>0</v>
      </c>
      <c r="F73" s="364">
        <v>-202296.40927800027</v>
      </c>
      <c r="G73" s="369">
        <v>-264817.83240400022</v>
      </c>
      <c r="H73" s="364">
        <v>-285328.85583799984</v>
      </c>
      <c r="I73" s="350">
        <f t="shared" si="18"/>
        <v>-752443.0975200003</v>
      </c>
      <c r="K73" s="66">
        <f t="shared" si="19"/>
        <v>0</v>
      </c>
      <c r="L73" s="66"/>
      <c r="M73" s="415">
        <v>67</v>
      </c>
      <c r="N73" s="415">
        <v>208</v>
      </c>
      <c r="O73" s="66" t="s">
        <v>529</v>
      </c>
      <c r="P73" t="s">
        <v>994</v>
      </c>
      <c r="Q73" s="364">
        <v>-285328.85583799984</v>
      </c>
      <c r="R73" t="s">
        <v>2580</v>
      </c>
      <c r="S73" s="250"/>
      <c r="T73" s="159">
        <f t="shared" si="27"/>
        <v>0</v>
      </c>
      <c r="U73" s="250"/>
      <c r="V73" s="415">
        <v>67</v>
      </c>
      <c r="W73" t="s">
        <v>529</v>
      </c>
      <c r="X73" t="s">
        <v>994</v>
      </c>
      <c r="Y73" s="364">
        <v>-295439.02390500013</v>
      </c>
      <c r="Z73" s="364">
        <v>0</v>
      </c>
      <c r="AA73" s="369">
        <v>-202296.40927800027</v>
      </c>
      <c r="AB73" s="505">
        <v>-264817.83240400022</v>
      </c>
      <c r="AC73" s="350">
        <f t="shared" si="20"/>
        <v>-762553.26558700064</v>
      </c>
      <c r="AG73" s="159">
        <f t="shared" si="21"/>
        <v>0</v>
      </c>
      <c r="AI73" s="442" t="s">
        <v>529</v>
      </c>
      <c r="AJ73" t="s">
        <v>994</v>
      </c>
      <c r="AK73" s="364">
        <v>0</v>
      </c>
      <c r="AL73" s="364">
        <v>0</v>
      </c>
      <c r="AM73" s="369">
        <v>-202296.40927800027</v>
      </c>
      <c r="AN73" s="505">
        <v>-264817.83240400022</v>
      </c>
      <c r="AO73" s="448">
        <v>-786149.79318300029</v>
      </c>
      <c r="AP73" s="448"/>
      <c r="AQ73" s="438"/>
      <c r="AR73" s="449">
        <f t="shared" si="22"/>
        <v>-467114.24168200046</v>
      </c>
      <c r="AS73" s="438"/>
      <c r="AT73" s="438"/>
      <c r="AU73" s="364">
        <v>0</v>
      </c>
      <c r="AV73" s="369">
        <v>-202296.40927800027</v>
      </c>
      <c r="AW73" s="505">
        <v>-264817.83240400022</v>
      </c>
      <c r="AX73" s="452">
        <f t="shared" si="23"/>
        <v>-467114.24168200046</v>
      </c>
      <c r="AY73" s="250">
        <f t="shared" si="12"/>
        <v>0</v>
      </c>
      <c r="AZ73" s="439"/>
      <c r="BA73" s="582">
        <v>-285328.85583799984</v>
      </c>
      <c r="BB73" s="462">
        <f t="shared" si="24"/>
        <v>-752443.0975200003</v>
      </c>
      <c r="BC73" s="463">
        <f t="shared" si="25"/>
        <v>0</v>
      </c>
      <c r="BD73" s="431"/>
      <c r="BE73" s="435">
        <f t="shared" si="26"/>
        <v>0</v>
      </c>
    </row>
    <row r="74" spans="1:57" ht="15">
      <c r="A74" s="415">
        <v>68</v>
      </c>
      <c r="B74" s="415">
        <v>233</v>
      </c>
      <c r="C74" t="s">
        <v>570</v>
      </c>
      <c r="D74" t="s">
        <v>1007</v>
      </c>
      <c r="E74" s="364">
        <v>1502120.9889858053</v>
      </c>
      <c r="F74" s="364">
        <v>-978477.92092972063</v>
      </c>
      <c r="G74" s="369">
        <v>-545869.59021199867</v>
      </c>
      <c r="H74" s="364">
        <v>-312322.42861518264</v>
      </c>
      <c r="I74" s="350">
        <f t="shared" si="18"/>
        <v>-334548.95077109663</v>
      </c>
      <c r="K74" s="66">
        <f t="shared" si="19"/>
        <v>0</v>
      </c>
      <c r="L74" s="66"/>
      <c r="M74" s="415">
        <v>68</v>
      </c>
      <c r="N74" s="415">
        <v>233</v>
      </c>
      <c r="O74" s="66" t="s">
        <v>570</v>
      </c>
      <c r="P74" t="s">
        <v>1007</v>
      </c>
      <c r="Q74" s="364">
        <v>-312322.42861518264</v>
      </c>
      <c r="R74" t="s">
        <v>2580</v>
      </c>
      <c r="S74" s="250"/>
      <c r="T74" s="159">
        <f t="shared" si="27"/>
        <v>0</v>
      </c>
      <c r="U74" s="250"/>
      <c r="V74" s="415">
        <v>68</v>
      </c>
      <c r="W74" t="s">
        <v>570</v>
      </c>
      <c r="X74" t="s">
        <v>1007</v>
      </c>
      <c r="Y74" s="364">
        <v>978308.41199521767</v>
      </c>
      <c r="Z74" s="364">
        <v>523812.57699058764</v>
      </c>
      <c r="AA74" s="369">
        <v>-978477.92092972063</v>
      </c>
      <c r="AB74" s="505">
        <v>-545869.59021199867</v>
      </c>
      <c r="AC74" s="350">
        <f t="shared" si="20"/>
        <v>-22226.52215591399</v>
      </c>
      <c r="AG74" s="159">
        <f t="shared" si="21"/>
        <v>0</v>
      </c>
      <c r="AI74" s="442" t="s">
        <v>570</v>
      </c>
      <c r="AJ74" t="s">
        <v>1007</v>
      </c>
      <c r="AK74" s="364">
        <v>0</v>
      </c>
      <c r="AL74" s="364">
        <v>1502120.9889858053</v>
      </c>
      <c r="AM74" s="369">
        <v>-978477.92092972063</v>
      </c>
      <c r="AN74" s="505">
        <v>-545869.59021199867</v>
      </c>
      <c r="AO74" s="448">
        <v>523643.06805608468</v>
      </c>
      <c r="AP74" s="448">
        <f>+AK74+AL74</f>
        <v>1502120.9889858053</v>
      </c>
      <c r="AQ74" s="438"/>
      <c r="AR74" s="449">
        <f t="shared" si="22"/>
        <v>-22226.52215591399</v>
      </c>
      <c r="AS74" s="438"/>
      <c r="AT74" s="438"/>
      <c r="AU74" s="364">
        <v>1502120.9889858053</v>
      </c>
      <c r="AV74" s="369">
        <v>-978477.92092972063</v>
      </c>
      <c r="AW74" s="505">
        <v>-545869.59021199867</v>
      </c>
      <c r="AX74" s="452">
        <f t="shared" si="23"/>
        <v>-22226.52215591399</v>
      </c>
      <c r="AY74" s="250">
        <f t="shared" si="12"/>
        <v>0</v>
      </c>
      <c r="AZ74" s="439"/>
      <c r="BA74" s="582">
        <v>-312322.42861518264</v>
      </c>
      <c r="BB74" s="462">
        <f t="shared" si="24"/>
        <v>-334548.95077109663</v>
      </c>
      <c r="BC74" s="463">
        <f t="shared" si="25"/>
        <v>0</v>
      </c>
      <c r="BD74" s="431"/>
      <c r="BE74" s="435">
        <f t="shared" si="26"/>
        <v>0</v>
      </c>
    </row>
    <row r="75" spans="1:57" ht="15">
      <c r="A75" s="415">
        <v>69</v>
      </c>
      <c r="B75" s="415">
        <v>137</v>
      </c>
      <c r="C75" t="s">
        <v>390</v>
      </c>
      <c r="D75" t="s">
        <v>931</v>
      </c>
      <c r="E75" s="364">
        <v>13672.583225156704</v>
      </c>
      <c r="F75" s="364">
        <v>-77123.049743249547</v>
      </c>
      <c r="G75" s="369">
        <v>43929.50055300002</v>
      </c>
      <c r="H75" s="364">
        <v>-44942.31826512632</v>
      </c>
      <c r="I75" s="350">
        <f t="shared" si="18"/>
        <v>-64463.284230219142</v>
      </c>
      <c r="K75" s="66">
        <f t="shared" si="19"/>
        <v>0</v>
      </c>
      <c r="L75" s="66"/>
      <c r="M75" s="415">
        <v>69</v>
      </c>
      <c r="N75" s="415">
        <v>137</v>
      </c>
      <c r="O75" s="66" t="s">
        <v>390</v>
      </c>
      <c r="P75" t="s">
        <v>931</v>
      </c>
      <c r="Q75" s="364">
        <v>-44942.31826512632</v>
      </c>
      <c r="R75" t="s">
        <v>2580</v>
      </c>
      <c r="S75" s="250"/>
      <c r="T75" s="159">
        <f t="shared" si="27"/>
        <v>0</v>
      </c>
      <c r="U75" s="250"/>
      <c r="V75" s="415">
        <v>69</v>
      </c>
      <c r="W75" t="s">
        <v>390</v>
      </c>
      <c r="X75" t="s">
        <v>931</v>
      </c>
      <c r="Y75" s="364">
        <v>-38741.518719795131</v>
      </c>
      <c r="Z75" s="364">
        <v>52414.101944951835</v>
      </c>
      <c r="AA75" s="369">
        <v>-77123.049743249547</v>
      </c>
      <c r="AB75" s="505">
        <v>43929.50055300002</v>
      </c>
      <c r="AC75" s="350">
        <f t="shared" si="20"/>
        <v>-19520.965965092822</v>
      </c>
      <c r="AG75" s="159">
        <f t="shared" si="21"/>
        <v>0</v>
      </c>
      <c r="AI75" s="442" t="s">
        <v>390</v>
      </c>
      <c r="AJ75" t="s">
        <v>931</v>
      </c>
      <c r="AK75" s="364">
        <v>0</v>
      </c>
      <c r="AL75" s="364">
        <v>13672.583225156704</v>
      </c>
      <c r="AM75" s="369">
        <v>-77123.049743249547</v>
      </c>
      <c r="AN75" s="505">
        <v>43929.50055300002</v>
      </c>
      <c r="AO75" s="448">
        <v>-63450.466518092842</v>
      </c>
      <c r="AP75" s="448">
        <f>+AK75+AL75</f>
        <v>13672.583225156704</v>
      </c>
      <c r="AQ75" s="438"/>
      <c r="AR75" s="449">
        <f t="shared" si="22"/>
        <v>-19520.965965092822</v>
      </c>
      <c r="AS75" s="438"/>
      <c r="AT75" s="438"/>
      <c r="AU75" s="364">
        <v>13672.583225156704</v>
      </c>
      <c r="AV75" s="369">
        <v>-77123.049743249547</v>
      </c>
      <c r="AW75" s="505">
        <v>43929.50055300002</v>
      </c>
      <c r="AX75" s="452">
        <f t="shared" si="23"/>
        <v>-19520.965965092822</v>
      </c>
      <c r="AY75" s="250">
        <f t="shared" si="12"/>
        <v>0</v>
      </c>
      <c r="AZ75" s="439"/>
      <c r="BA75" s="582">
        <v>-44942.31826512632</v>
      </c>
      <c r="BB75" s="462">
        <f t="shared" si="24"/>
        <v>-64463.284230219142</v>
      </c>
      <c r="BC75" s="463">
        <f t="shared" si="25"/>
        <v>0</v>
      </c>
      <c r="BD75" s="431"/>
      <c r="BE75" s="435">
        <f t="shared" si="26"/>
        <v>0</v>
      </c>
    </row>
    <row r="76" spans="1:57" ht="15">
      <c r="A76" s="415">
        <v>70</v>
      </c>
      <c r="B76" s="415">
        <v>81</v>
      </c>
      <c r="C76" t="s">
        <v>307</v>
      </c>
      <c r="D76" t="s">
        <v>891</v>
      </c>
      <c r="E76" s="364">
        <v>-15025.011113419896</v>
      </c>
      <c r="F76" s="364">
        <v>-20128.557756209877</v>
      </c>
      <c r="G76" s="369">
        <v>-54377.327210000018</v>
      </c>
      <c r="H76" s="364">
        <v>-150512.03352289891</v>
      </c>
      <c r="I76" s="350">
        <f t="shared" si="18"/>
        <v>-240042.92960252869</v>
      </c>
      <c r="K76" s="66">
        <f t="shared" si="19"/>
        <v>0</v>
      </c>
      <c r="L76" s="66"/>
      <c r="M76" s="415">
        <v>70</v>
      </c>
      <c r="N76" s="415">
        <v>81</v>
      </c>
      <c r="O76" s="66" t="s">
        <v>307</v>
      </c>
      <c r="P76" t="s">
        <v>891</v>
      </c>
      <c r="Q76" s="364">
        <v>-150512.03352289891</v>
      </c>
      <c r="R76" t="s">
        <v>2580</v>
      </c>
      <c r="S76" s="250"/>
      <c r="T76" s="159">
        <f t="shared" si="27"/>
        <v>0</v>
      </c>
      <c r="U76" s="250"/>
      <c r="V76" s="415">
        <v>70</v>
      </c>
      <c r="W76" t="s">
        <v>307</v>
      </c>
      <c r="X76" t="s">
        <v>891</v>
      </c>
      <c r="Y76" s="364">
        <v>-142355.23251517868</v>
      </c>
      <c r="Z76" s="364">
        <v>-15025.011113419896</v>
      </c>
      <c r="AA76" s="369">
        <v>-20128.557756209877</v>
      </c>
      <c r="AB76" s="505">
        <v>-54377.327210000018</v>
      </c>
      <c r="AC76" s="350">
        <f t="shared" si="20"/>
        <v>-231886.12859480846</v>
      </c>
      <c r="AG76" s="159">
        <f t="shared" si="21"/>
        <v>0</v>
      </c>
      <c r="AI76" s="442" t="s">
        <v>307</v>
      </c>
      <c r="AJ76" t="s">
        <v>891</v>
      </c>
      <c r="AK76" s="364">
        <v>0</v>
      </c>
      <c r="AL76" s="364">
        <v>-15025.011113419896</v>
      </c>
      <c r="AM76" s="369">
        <v>-20128.557756209877</v>
      </c>
      <c r="AN76" s="505">
        <v>-54377.327210000018</v>
      </c>
      <c r="AO76" s="448">
        <v>-511243.42138480843</v>
      </c>
      <c r="AP76" s="448"/>
      <c r="AQ76" s="438"/>
      <c r="AR76" s="449">
        <f t="shared" si="22"/>
        <v>-89530.896079629791</v>
      </c>
      <c r="AS76" s="438"/>
      <c r="AT76" s="438"/>
      <c r="AU76" s="364">
        <v>-15025.011113419896</v>
      </c>
      <c r="AV76" s="369">
        <v>-20128.557756209877</v>
      </c>
      <c r="AW76" s="505">
        <v>-54377.327210000018</v>
      </c>
      <c r="AX76" s="452">
        <f t="shared" si="23"/>
        <v>-89530.896079629791</v>
      </c>
      <c r="AY76" s="250">
        <f t="shared" si="12"/>
        <v>0</v>
      </c>
      <c r="AZ76" s="439"/>
      <c r="BA76" s="582">
        <v>-150512.03352289891</v>
      </c>
      <c r="BB76" s="462">
        <f t="shared" si="24"/>
        <v>-240042.92960252869</v>
      </c>
      <c r="BC76" s="463">
        <f t="shared" si="25"/>
        <v>0</v>
      </c>
      <c r="BD76" s="431"/>
      <c r="BE76" s="435">
        <f t="shared" si="26"/>
        <v>0</v>
      </c>
    </row>
    <row r="77" spans="1:57" ht="15">
      <c r="A77" s="415">
        <v>71</v>
      </c>
      <c r="B77" s="415">
        <v>310</v>
      </c>
      <c r="C77" t="s">
        <v>703</v>
      </c>
      <c r="D77" t="s">
        <v>1065</v>
      </c>
      <c r="E77" s="364">
        <v>-103242.74523499999</v>
      </c>
      <c r="F77" s="364">
        <v>-68648.084632000013</v>
      </c>
      <c r="G77" s="369">
        <v>-48289.12004899999</v>
      </c>
      <c r="H77" s="364">
        <v>-81860.553833999991</v>
      </c>
      <c r="I77" s="350">
        <f t="shared" si="18"/>
        <v>-302040.50374999997</v>
      </c>
      <c r="K77" s="66">
        <f t="shared" si="19"/>
        <v>0</v>
      </c>
      <c r="L77" s="66"/>
      <c r="M77" s="415">
        <v>71</v>
      </c>
      <c r="N77" s="415">
        <v>310</v>
      </c>
      <c r="O77" s="66" t="s">
        <v>703</v>
      </c>
      <c r="P77" t="s">
        <v>1065</v>
      </c>
      <c r="Q77" s="364">
        <v>-81860.553833999991</v>
      </c>
      <c r="R77" t="s">
        <v>2580</v>
      </c>
      <c r="S77" s="250"/>
      <c r="T77" s="159">
        <f t="shared" si="27"/>
        <v>0</v>
      </c>
      <c r="U77" s="250"/>
      <c r="V77" s="415">
        <v>71</v>
      </c>
      <c r="W77" t="s">
        <v>703</v>
      </c>
      <c r="X77" t="s">
        <v>1065</v>
      </c>
      <c r="Y77" s="364">
        <v>-81402.685756999999</v>
      </c>
      <c r="Z77" s="364">
        <v>-103242.74523499999</v>
      </c>
      <c r="AA77" s="369">
        <v>-68648.084632000013</v>
      </c>
      <c r="AB77" s="505">
        <v>-48289.12004899999</v>
      </c>
      <c r="AC77" s="350">
        <f t="shared" si="20"/>
        <v>-301582.63567300001</v>
      </c>
      <c r="AG77" s="159">
        <f t="shared" si="21"/>
        <v>0</v>
      </c>
      <c r="AI77" s="442" t="s">
        <v>703</v>
      </c>
      <c r="AJ77" t="s">
        <v>1065</v>
      </c>
      <c r="AK77" s="364">
        <v>0</v>
      </c>
      <c r="AL77" s="364">
        <v>-103242.74523499999</v>
      </c>
      <c r="AM77" s="369">
        <v>-68648.084632000013</v>
      </c>
      <c r="AN77" s="505">
        <v>-48289.12004899999</v>
      </c>
      <c r="AO77" s="448">
        <v>-325341.36562400003</v>
      </c>
      <c r="AP77" s="448"/>
      <c r="AQ77" s="438"/>
      <c r="AR77" s="449">
        <f t="shared" si="22"/>
        <v>-220179.94991599998</v>
      </c>
      <c r="AS77" s="438"/>
      <c r="AT77" s="438"/>
      <c r="AU77" s="364">
        <v>-103242.74523499999</v>
      </c>
      <c r="AV77" s="369">
        <v>-68648.084632000013</v>
      </c>
      <c r="AW77" s="505">
        <v>-48289.12004899999</v>
      </c>
      <c r="AX77" s="452">
        <f t="shared" si="23"/>
        <v>-220179.94991599998</v>
      </c>
      <c r="AY77" s="250">
        <f t="shared" si="12"/>
        <v>0</v>
      </c>
      <c r="AZ77" s="439"/>
      <c r="BA77" s="582">
        <v>-81860.553833999991</v>
      </c>
      <c r="BB77" s="462">
        <f t="shared" si="24"/>
        <v>-302040.50374999997</v>
      </c>
      <c r="BC77" s="463">
        <f t="shared" si="25"/>
        <v>0</v>
      </c>
      <c r="BD77" s="431"/>
      <c r="BE77" s="435">
        <f t="shared" si="26"/>
        <v>0</v>
      </c>
    </row>
    <row r="78" spans="1:57" ht="15">
      <c r="A78" s="415">
        <v>72</v>
      </c>
      <c r="B78" s="415">
        <v>16</v>
      </c>
      <c r="C78" t="s">
        <v>193</v>
      </c>
      <c r="D78" t="s">
        <v>839</v>
      </c>
      <c r="E78" s="364">
        <v>-79643.244383000012</v>
      </c>
      <c r="F78" s="364">
        <v>-72715.815179999918</v>
      </c>
      <c r="G78" s="369">
        <v>-74369.393591999949</v>
      </c>
      <c r="H78" s="364">
        <v>-91737.189595999953</v>
      </c>
      <c r="I78" s="350">
        <f t="shared" si="18"/>
        <v>-318465.64275099983</v>
      </c>
      <c r="K78" s="66">
        <f t="shared" si="19"/>
        <v>0</v>
      </c>
      <c r="L78" s="66"/>
      <c r="M78" s="415">
        <v>72</v>
      </c>
      <c r="N78" s="415">
        <v>16</v>
      </c>
      <c r="O78" s="66" t="s">
        <v>193</v>
      </c>
      <c r="P78" t="s">
        <v>839</v>
      </c>
      <c r="Q78" s="364">
        <v>-91737.189595999953</v>
      </c>
      <c r="R78" t="s">
        <v>2580</v>
      </c>
      <c r="S78" s="250"/>
      <c r="T78" s="159">
        <f t="shared" si="27"/>
        <v>0</v>
      </c>
      <c r="U78" s="250"/>
      <c r="V78" s="415">
        <v>72</v>
      </c>
      <c r="W78" t="s">
        <v>193</v>
      </c>
      <c r="X78" t="s">
        <v>839</v>
      </c>
      <c r="Y78" s="364">
        <v>-112984.52140799999</v>
      </c>
      <c r="Z78" s="364">
        <v>-79643.244383000012</v>
      </c>
      <c r="AA78" s="369">
        <v>-72715.815179999918</v>
      </c>
      <c r="AB78" s="505">
        <v>-74369.393591999949</v>
      </c>
      <c r="AC78" s="350">
        <f t="shared" si="20"/>
        <v>-339712.97456299985</v>
      </c>
      <c r="AG78" s="159">
        <f t="shared" si="21"/>
        <v>0</v>
      </c>
      <c r="AI78" s="442" t="s">
        <v>193</v>
      </c>
      <c r="AJ78" t="s">
        <v>839</v>
      </c>
      <c r="AK78" s="364">
        <v>0</v>
      </c>
      <c r="AL78" s="364">
        <v>-79643.244383000012</v>
      </c>
      <c r="AM78" s="369">
        <v>-72715.815179999918</v>
      </c>
      <c r="AN78" s="505">
        <v>-74369.393591999949</v>
      </c>
      <c r="AO78" s="448">
        <v>-372256.78097099991</v>
      </c>
      <c r="AP78" s="448"/>
      <c r="AQ78" s="438"/>
      <c r="AR78" s="449">
        <f t="shared" si="22"/>
        <v>-226728.45315499988</v>
      </c>
      <c r="AS78" s="438"/>
      <c r="AT78" s="438"/>
      <c r="AU78" s="364">
        <v>-79643.244383000012</v>
      </c>
      <c r="AV78" s="369">
        <v>-72715.815179999918</v>
      </c>
      <c r="AW78" s="505">
        <v>-74369.393591999949</v>
      </c>
      <c r="AX78" s="452">
        <f t="shared" si="23"/>
        <v>-226728.45315499988</v>
      </c>
      <c r="AY78" s="250">
        <f t="shared" si="12"/>
        <v>0</v>
      </c>
      <c r="AZ78" s="439"/>
      <c r="BA78" s="582">
        <v>-91737.189595999953</v>
      </c>
      <c r="BB78" s="462">
        <f t="shared" si="24"/>
        <v>-318465.64275099983</v>
      </c>
      <c r="BC78" s="463">
        <f t="shared" si="25"/>
        <v>0</v>
      </c>
      <c r="BD78" s="431"/>
      <c r="BE78" s="435">
        <f t="shared" si="26"/>
        <v>0</v>
      </c>
    </row>
    <row r="79" spans="1:57" ht="15">
      <c r="A79" s="415">
        <v>73</v>
      </c>
      <c r="B79" s="415">
        <v>99</v>
      </c>
      <c r="C79" t="s">
        <v>342</v>
      </c>
      <c r="D79" t="s">
        <v>908</v>
      </c>
      <c r="E79" s="364">
        <v>-533475.28559715115</v>
      </c>
      <c r="F79" s="364">
        <v>-1072104.7135292429</v>
      </c>
      <c r="G79" s="369">
        <v>-1255839.0468160002</v>
      </c>
      <c r="H79" s="364">
        <v>-1285151.2203545063</v>
      </c>
      <c r="I79" s="350">
        <f t="shared" si="18"/>
        <v>-4146570.2662969003</v>
      </c>
      <c r="K79" s="66">
        <f t="shared" si="19"/>
        <v>0</v>
      </c>
      <c r="L79" s="66"/>
      <c r="M79" s="415">
        <v>73</v>
      </c>
      <c r="N79" s="415">
        <v>99</v>
      </c>
      <c r="O79" s="66" t="s">
        <v>342</v>
      </c>
      <c r="P79" t="s">
        <v>908</v>
      </c>
      <c r="Q79" s="364">
        <v>-1285151.2203545063</v>
      </c>
      <c r="R79" t="s">
        <v>2580</v>
      </c>
      <c r="S79" s="250"/>
      <c r="T79" s="159">
        <f t="shared" si="27"/>
        <v>0</v>
      </c>
      <c r="U79" s="250"/>
      <c r="V79" s="415">
        <v>73</v>
      </c>
      <c r="W79" t="s">
        <v>342</v>
      </c>
      <c r="X79" t="s">
        <v>908</v>
      </c>
      <c r="Y79" s="364">
        <v>-1123538.293666519</v>
      </c>
      <c r="Z79" s="364">
        <v>-533475.28559715115</v>
      </c>
      <c r="AA79" s="369">
        <v>-1072104.7135292429</v>
      </c>
      <c r="AB79" s="505">
        <v>-1255839.0468160002</v>
      </c>
      <c r="AC79" s="350">
        <f t="shared" si="20"/>
        <v>-3984957.3396089133</v>
      </c>
      <c r="AG79" s="159">
        <f t="shared" si="21"/>
        <v>0</v>
      </c>
      <c r="AI79" s="442" t="s">
        <v>342</v>
      </c>
      <c r="AJ79" t="s">
        <v>908</v>
      </c>
      <c r="AK79" s="364">
        <v>0</v>
      </c>
      <c r="AL79" s="364">
        <v>-533475.28559715115</v>
      </c>
      <c r="AM79" s="369">
        <v>-1072104.7135292429</v>
      </c>
      <c r="AN79" s="505">
        <v>-1255839.0468160002</v>
      </c>
      <c r="AO79" s="448">
        <v>-3740121.3427929133</v>
      </c>
      <c r="AP79" s="448"/>
      <c r="AQ79" s="438"/>
      <c r="AR79" s="449">
        <f t="shared" si="22"/>
        <v>-2861419.0459423941</v>
      </c>
      <c r="AS79" s="438"/>
      <c r="AT79" s="438"/>
      <c r="AU79" s="364">
        <v>-533475.28559715115</v>
      </c>
      <c r="AV79" s="369">
        <v>-1072104.7135292429</v>
      </c>
      <c r="AW79" s="505">
        <v>-1255839.0468160002</v>
      </c>
      <c r="AX79" s="452">
        <f t="shared" si="23"/>
        <v>-2861419.0459423941</v>
      </c>
      <c r="AY79" s="250">
        <f t="shared" si="12"/>
        <v>0</v>
      </c>
      <c r="AZ79" s="439"/>
      <c r="BA79" s="582">
        <v>-1285151.2203545063</v>
      </c>
      <c r="BB79" s="462">
        <f t="shared" si="24"/>
        <v>-4146570.2662969003</v>
      </c>
      <c r="BC79" s="463">
        <f t="shared" si="25"/>
        <v>0</v>
      </c>
      <c r="BD79" s="431"/>
      <c r="BE79" s="435">
        <f t="shared" si="26"/>
        <v>0</v>
      </c>
    </row>
    <row r="80" spans="1:57" ht="15">
      <c r="A80" s="415">
        <v>74</v>
      </c>
      <c r="B80" s="415">
        <v>73</v>
      </c>
      <c r="C80" t="s">
        <v>291</v>
      </c>
      <c r="D80" t="s">
        <v>884</v>
      </c>
      <c r="E80" s="364">
        <v>-9811.4784850000869</v>
      </c>
      <c r="F80" s="364">
        <v>105807.42</v>
      </c>
      <c r="G80" s="370">
        <v>147503.89845600026</v>
      </c>
      <c r="H80" s="364">
        <v>-139869.11361999996</v>
      </c>
      <c r="I80" s="350">
        <f t="shared" si="18"/>
        <v>103630.72635100019</v>
      </c>
      <c r="K80" s="66">
        <f t="shared" si="19"/>
        <v>0</v>
      </c>
      <c r="L80" s="66"/>
      <c r="M80" s="415">
        <v>74</v>
      </c>
      <c r="N80" s="415">
        <v>73</v>
      </c>
      <c r="O80" s="66" t="s">
        <v>291</v>
      </c>
      <c r="P80" t="s">
        <v>884</v>
      </c>
      <c r="Q80" s="364">
        <v>-139869.11361999996</v>
      </c>
      <c r="R80" t="s">
        <v>2580</v>
      </c>
      <c r="S80" s="250"/>
      <c r="T80" s="159">
        <f t="shared" si="27"/>
        <v>0</v>
      </c>
      <c r="U80" s="250"/>
      <c r="V80" s="415">
        <v>74</v>
      </c>
      <c r="W80" t="s">
        <v>291</v>
      </c>
      <c r="X80" t="s">
        <v>884</v>
      </c>
      <c r="Y80" s="364">
        <v>0</v>
      </c>
      <c r="Z80" s="364">
        <v>-9811.4784850000869</v>
      </c>
      <c r="AA80" s="370">
        <v>105807.42</v>
      </c>
      <c r="AB80" s="505">
        <v>147503.89845600026</v>
      </c>
      <c r="AC80" s="350">
        <f t="shared" si="20"/>
        <v>243499.83997100015</v>
      </c>
      <c r="AG80" s="159">
        <f t="shared" si="21"/>
        <v>0</v>
      </c>
      <c r="AI80" s="442" t="s">
        <v>291</v>
      </c>
      <c r="AJ80" t="s">
        <v>884</v>
      </c>
      <c r="AK80" s="364">
        <v>0</v>
      </c>
      <c r="AL80" s="364">
        <v>-9811.4784850000869</v>
      </c>
      <c r="AM80" s="370">
        <v>105807.42</v>
      </c>
      <c r="AN80" s="505">
        <v>147503.89845600026</v>
      </c>
      <c r="AO80" s="448">
        <v>95995.941803000023</v>
      </c>
      <c r="AP80" s="450"/>
      <c r="AQ80" s="438"/>
      <c r="AR80" s="449">
        <f t="shared" si="22"/>
        <v>243499.83997100015</v>
      </c>
      <c r="AS80" s="438"/>
      <c r="AT80" s="438"/>
      <c r="AU80" s="364">
        <v>-9811.4784850000869</v>
      </c>
      <c r="AV80" s="370">
        <v>105807.42</v>
      </c>
      <c r="AW80" s="505">
        <v>147503.89845600026</v>
      </c>
      <c r="AX80" s="452">
        <f t="shared" si="23"/>
        <v>243499.83997100015</v>
      </c>
      <c r="AY80" s="250">
        <f t="shared" si="12"/>
        <v>0</v>
      </c>
      <c r="AZ80" s="439"/>
      <c r="BA80" s="582">
        <v>-139869.11361999996</v>
      </c>
      <c r="BB80" s="462">
        <f t="shared" si="24"/>
        <v>103630.72635100019</v>
      </c>
      <c r="BC80" s="463">
        <f t="shared" si="25"/>
        <v>0</v>
      </c>
      <c r="BD80" s="431"/>
      <c r="BE80" s="435">
        <f t="shared" si="26"/>
        <v>0</v>
      </c>
    </row>
    <row r="81" spans="1:57" ht="15">
      <c r="A81" s="415">
        <v>75</v>
      </c>
      <c r="B81" s="415">
        <v>38</v>
      </c>
      <c r="C81" s="343" t="s">
        <v>1500</v>
      </c>
      <c r="D81" s="344" t="s">
        <v>1582</v>
      </c>
      <c r="E81" s="366">
        <v>0</v>
      </c>
      <c r="F81" s="366"/>
      <c r="G81" s="369"/>
      <c r="H81" s="364"/>
      <c r="I81" s="350">
        <f t="shared" si="18"/>
        <v>0</v>
      </c>
      <c r="K81" s="66">
        <f t="shared" si="19"/>
        <v>0</v>
      </c>
      <c r="L81" s="66"/>
      <c r="M81" s="415">
        <v>75</v>
      </c>
      <c r="N81" s="415">
        <v>38</v>
      </c>
      <c r="O81" s="343" t="s">
        <v>1500</v>
      </c>
      <c r="P81" s="344" t="s">
        <v>1582</v>
      </c>
      <c r="Q81" s="364"/>
      <c r="R81" t="s">
        <v>2580</v>
      </c>
      <c r="S81" s="250"/>
      <c r="T81" s="159">
        <f t="shared" si="27"/>
        <v>0</v>
      </c>
      <c r="U81" s="250"/>
      <c r="V81" s="415">
        <v>75</v>
      </c>
      <c r="W81" s="343" t="s">
        <v>1500</v>
      </c>
      <c r="X81" s="344" t="s">
        <v>1582</v>
      </c>
      <c r="Y81" s="366">
        <v>0</v>
      </c>
      <c r="Z81" s="366"/>
      <c r="AA81" s="369"/>
      <c r="AB81" s="505">
        <v>0</v>
      </c>
      <c r="AC81" s="350">
        <f t="shared" si="20"/>
        <v>0</v>
      </c>
      <c r="AG81" s="159">
        <f t="shared" si="21"/>
        <v>0</v>
      </c>
      <c r="AI81" s="442" t="s">
        <v>1500</v>
      </c>
      <c r="AJ81" s="344" t="s">
        <v>1582</v>
      </c>
      <c r="AK81" s="366">
        <v>0</v>
      </c>
      <c r="AL81" s="366"/>
      <c r="AM81" s="369"/>
      <c r="AN81" s="505">
        <v>0</v>
      </c>
      <c r="AO81" s="448">
        <v>0</v>
      </c>
      <c r="AP81" s="448"/>
      <c r="AQ81" s="438"/>
      <c r="AR81" s="449">
        <f t="shared" si="22"/>
        <v>0</v>
      </c>
      <c r="AS81" s="438"/>
      <c r="AT81" s="438"/>
      <c r="AU81" s="583">
        <f t="shared" ref="AU81:AU90" si="28">+AL81</f>
        <v>0</v>
      </c>
      <c r="AV81" s="584"/>
      <c r="AW81" s="370"/>
      <c r="AX81" s="452">
        <f t="shared" si="23"/>
        <v>0</v>
      </c>
      <c r="AY81" s="250">
        <f t="shared" si="12"/>
        <v>0</v>
      </c>
      <c r="AZ81" s="439"/>
      <c r="BA81" s="582"/>
      <c r="BB81" s="462">
        <f t="shared" si="24"/>
        <v>0</v>
      </c>
      <c r="BC81" s="463">
        <f t="shared" si="25"/>
        <v>0</v>
      </c>
      <c r="BD81" s="431"/>
      <c r="BE81" s="435">
        <f t="shared" si="26"/>
        <v>0</v>
      </c>
    </row>
    <row r="82" spans="1:57" ht="15">
      <c r="A82" s="415">
        <v>76</v>
      </c>
      <c r="B82" s="415">
        <v>258</v>
      </c>
      <c r="C82" s="344" t="s">
        <v>766</v>
      </c>
      <c r="D82" s="344" t="s">
        <v>1583</v>
      </c>
      <c r="E82" s="366">
        <v>0</v>
      </c>
      <c r="F82" s="366"/>
      <c r="G82" s="369"/>
      <c r="H82" s="364"/>
      <c r="I82" s="350">
        <f t="shared" si="18"/>
        <v>0</v>
      </c>
      <c r="K82" s="66">
        <f t="shared" si="19"/>
        <v>0</v>
      </c>
      <c r="L82" s="66"/>
      <c r="M82" s="415">
        <v>76</v>
      </c>
      <c r="N82" s="415">
        <v>258</v>
      </c>
      <c r="O82" s="344" t="s">
        <v>766</v>
      </c>
      <c r="P82" s="344" t="s">
        <v>1583</v>
      </c>
      <c r="Q82" s="364"/>
      <c r="R82" t="s">
        <v>2580</v>
      </c>
      <c r="S82" s="250"/>
      <c r="T82" s="159">
        <f t="shared" si="27"/>
        <v>0</v>
      </c>
      <c r="U82" s="250"/>
      <c r="V82" s="415">
        <v>76</v>
      </c>
      <c r="W82" s="344" t="s">
        <v>766</v>
      </c>
      <c r="X82" s="344" t="s">
        <v>1583</v>
      </c>
      <c r="Y82" s="366">
        <v>0</v>
      </c>
      <c r="Z82" s="366"/>
      <c r="AA82" s="369"/>
      <c r="AB82" s="505">
        <v>0</v>
      </c>
      <c r="AC82" s="350">
        <f t="shared" si="20"/>
        <v>0</v>
      </c>
      <c r="AG82" s="159">
        <f t="shared" si="21"/>
        <v>0</v>
      </c>
      <c r="AI82" s="442" t="s">
        <v>766</v>
      </c>
      <c r="AJ82" s="344" t="s">
        <v>1583</v>
      </c>
      <c r="AK82" s="366">
        <v>0</v>
      </c>
      <c r="AL82" s="366"/>
      <c r="AM82" s="369"/>
      <c r="AN82" s="505">
        <v>0</v>
      </c>
      <c r="AO82" s="448">
        <v>0</v>
      </c>
      <c r="AP82" s="448"/>
      <c r="AQ82" s="438"/>
      <c r="AR82" s="449">
        <f t="shared" si="22"/>
        <v>0</v>
      </c>
      <c r="AS82" s="438"/>
      <c r="AT82" s="438"/>
      <c r="AU82" s="583">
        <f t="shared" si="28"/>
        <v>0</v>
      </c>
      <c r="AV82" s="584"/>
      <c r="AW82" s="370"/>
      <c r="AX82" s="452">
        <f t="shared" si="23"/>
        <v>0</v>
      </c>
      <c r="AY82" s="250">
        <f t="shared" si="12"/>
        <v>0</v>
      </c>
      <c r="AZ82" s="439"/>
      <c r="BA82" s="582"/>
      <c r="BB82" s="462">
        <f t="shared" si="24"/>
        <v>0</v>
      </c>
      <c r="BC82" s="463">
        <f t="shared" si="25"/>
        <v>0</v>
      </c>
      <c r="BD82" s="431"/>
      <c r="BE82" s="435">
        <f t="shared" si="26"/>
        <v>0</v>
      </c>
    </row>
    <row r="83" spans="1:57" ht="15">
      <c r="A83" s="415">
        <v>77</v>
      </c>
      <c r="B83" s="415">
        <v>329</v>
      </c>
      <c r="C83" s="343" t="s">
        <v>768</v>
      </c>
      <c r="D83" s="344" t="s">
        <v>1584</v>
      </c>
      <c r="E83" s="366">
        <v>0</v>
      </c>
      <c r="F83" s="366"/>
      <c r="G83" s="369"/>
      <c r="H83" s="364"/>
      <c r="I83" s="350">
        <f t="shared" si="18"/>
        <v>0</v>
      </c>
      <c r="K83" s="66">
        <f t="shared" si="19"/>
        <v>0</v>
      </c>
      <c r="L83" s="66"/>
      <c r="M83" s="415">
        <v>77</v>
      </c>
      <c r="N83" s="415">
        <v>329</v>
      </c>
      <c r="O83" s="343" t="s">
        <v>768</v>
      </c>
      <c r="P83" s="344" t="s">
        <v>1584</v>
      </c>
      <c r="Q83" s="364"/>
      <c r="R83" t="s">
        <v>2580</v>
      </c>
      <c r="S83" s="250"/>
      <c r="T83" s="159">
        <f t="shared" si="27"/>
        <v>0</v>
      </c>
      <c r="U83" s="250"/>
      <c r="V83" s="415">
        <v>77</v>
      </c>
      <c r="W83" s="343" t="s">
        <v>768</v>
      </c>
      <c r="X83" s="344" t="s">
        <v>1584</v>
      </c>
      <c r="Y83" s="366">
        <v>0</v>
      </c>
      <c r="Z83" s="366"/>
      <c r="AA83" s="369"/>
      <c r="AB83" s="505">
        <v>0</v>
      </c>
      <c r="AC83" s="350">
        <f t="shared" si="20"/>
        <v>0</v>
      </c>
      <c r="AG83" s="159">
        <f t="shared" si="21"/>
        <v>0</v>
      </c>
      <c r="AI83" s="442" t="s">
        <v>768</v>
      </c>
      <c r="AJ83" s="344" t="s">
        <v>1584</v>
      </c>
      <c r="AK83" s="366">
        <v>0</v>
      </c>
      <c r="AL83" s="366"/>
      <c r="AM83" s="369"/>
      <c r="AN83" s="505">
        <v>0</v>
      </c>
      <c r="AO83" s="448">
        <v>0</v>
      </c>
      <c r="AP83" s="448"/>
      <c r="AQ83" s="438"/>
      <c r="AR83" s="449">
        <f t="shared" si="22"/>
        <v>0</v>
      </c>
      <c r="AS83" s="438"/>
      <c r="AT83" s="438"/>
      <c r="AU83" s="583">
        <f t="shared" si="28"/>
        <v>0</v>
      </c>
      <c r="AV83" s="584"/>
      <c r="AW83" s="370"/>
      <c r="AX83" s="452">
        <f t="shared" si="23"/>
        <v>0</v>
      </c>
      <c r="AY83" s="250">
        <f t="shared" si="12"/>
        <v>0</v>
      </c>
      <c r="AZ83" s="439"/>
      <c r="BA83" s="582"/>
      <c r="BB83" s="462">
        <f t="shared" si="24"/>
        <v>0</v>
      </c>
      <c r="BC83" s="463">
        <f t="shared" si="25"/>
        <v>0</v>
      </c>
      <c r="BD83" s="431"/>
      <c r="BE83" s="435">
        <f t="shared" si="26"/>
        <v>0</v>
      </c>
    </row>
    <row r="84" spans="1:57" ht="15">
      <c r="A84" s="415">
        <v>78</v>
      </c>
      <c r="B84" s="415">
        <v>39</v>
      </c>
      <c r="C84" s="343" t="s">
        <v>761</v>
      </c>
      <c r="D84" s="344" t="s">
        <v>1585</v>
      </c>
      <c r="E84" s="366">
        <v>0</v>
      </c>
      <c r="F84" s="366"/>
      <c r="G84" s="369"/>
      <c r="H84" s="364"/>
      <c r="I84" s="350">
        <f t="shared" si="18"/>
        <v>0</v>
      </c>
      <c r="K84" s="66">
        <f t="shared" si="19"/>
        <v>0</v>
      </c>
      <c r="L84" s="66"/>
      <c r="M84" s="415">
        <v>78</v>
      </c>
      <c r="N84" s="415">
        <v>39</v>
      </c>
      <c r="O84" s="343" t="s">
        <v>761</v>
      </c>
      <c r="P84" s="344" t="s">
        <v>1585</v>
      </c>
      <c r="Q84" s="364"/>
      <c r="R84" t="s">
        <v>2580</v>
      </c>
      <c r="S84" s="250"/>
      <c r="T84" s="159">
        <f t="shared" si="27"/>
        <v>0</v>
      </c>
      <c r="U84" s="250"/>
      <c r="V84" s="415">
        <v>78</v>
      </c>
      <c r="W84" s="343" t="s">
        <v>761</v>
      </c>
      <c r="X84" s="344" t="s">
        <v>1585</v>
      </c>
      <c r="Y84" s="366">
        <v>0</v>
      </c>
      <c r="Z84" s="366"/>
      <c r="AA84" s="369"/>
      <c r="AB84" s="505">
        <v>0</v>
      </c>
      <c r="AC84" s="350">
        <f t="shared" si="20"/>
        <v>0</v>
      </c>
      <c r="AG84" s="159">
        <f t="shared" si="21"/>
        <v>0</v>
      </c>
      <c r="AI84" s="442" t="s">
        <v>761</v>
      </c>
      <c r="AJ84" s="344" t="s">
        <v>1585</v>
      </c>
      <c r="AK84" s="366">
        <v>0</v>
      </c>
      <c r="AL84" s="366"/>
      <c r="AM84" s="369"/>
      <c r="AN84" s="505">
        <v>0</v>
      </c>
      <c r="AO84" s="448">
        <v>0</v>
      </c>
      <c r="AP84" s="448"/>
      <c r="AQ84" s="438"/>
      <c r="AR84" s="449">
        <f t="shared" si="22"/>
        <v>0</v>
      </c>
      <c r="AS84" s="438"/>
      <c r="AT84" s="438"/>
      <c r="AU84" s="583">
        <f t="shared" si="28"/>
        <v>0</v>
      </c>
      <c r="AV84" s="584"/>
      <c r="AW84" s="370"/>
      <c r="AX84" s="452">
        <f t="shared" si="23"/>
        <v>0</v>
      </c>
      <c r="AY84" s="250">
        <f t="shared" si="12"/>
        <v>0</v>
      </c>
      <c r="AZ84" s="439"/>
      <c r="BA84" s="582"/>
      <c r="BB84" s="462">
        <f t="shared" si="24"/>
        <v>0</v>
      </c>
      <c r="BC84" s="463">
        <f t="shared" si="25"/>
        <v>0</v>
      </c>
      <c r="BD84" s="431"/>
      <c r="BE84" s="435">
        <f t="shared" si="26"/>
        <v>0</v>
      </c>
    </row>
    <row r="85" spans="1:57" ht="15">
      <c r="A85" s="415">
        <v>79</v>
      </c>
      <c r="B85" s="415">
        <v>282</v>
      </c>
      <c r="C85" s="344" t="s">
        <v>767</v>
      </c>
      <c r="D85" s="344" t="s">
        <v>1586</v>
      </c>
      <c r="E85" s="366">
        <v>0</v>
      </c>
      <c r="F85" s="366"/>
      <c r="G85" s="369"/>
      <c r="H85" s="364"/>
      <c r="I85" s="350">
        <f t="shared" si="18"/>
        <v>0</v>
      </c>
      <c r="K85" s="66">
        <f t="shared" si="19"/>
        <v>0</v>
      </c>
      <c r="L85" s="66"/>
      <c r="M85" s="415">
        <v>79</v>
      </c>
      <c r="N85" s="415">
        <v>282</v>
      </c>
      <c r="O85" s="344" t="s">
        <v>767</v>
      </c>
      <c r="P85" s="344" t="s">
        <v>1586</v>
      </c>
      <c r="Q85" s="364"/>
      <c r="R85" t="s">
        <v>2580</v>
      </c>
      <c r="S85" s="250"/>
      <c r="T85" s="159">
        <f t="shared" si="27"/>
        <v>0</v>
      </c>
      <c r="U85" s="250"/>
      <c r="V85" s="415">
        <v>79</v>
      </c>
      <c r="W85" s="344" t="s">
        <v>767</v>
      </c>
      <c r="X85" s="344" t="s">
        <v>1586</v>
      </c>
      <c r="Y85" s="366">
        <v>0</v>
      </c>
      <c r="Z85" s="366"/>
      <c r="AA85" s="369"/>
      <c r="AB85" s="505">
        <v>0</v>
      </c>
      <c r="AC85" s="350">
        <f t="shared" si="20"/>
        <v>0</v>
      </c>
      <c r="AG85" s="159">
        <f t="shared" si="21"/>
        <v>0</v>
      </c>
      <c r="AI85" s="442" t="s">
        <v>767</v>
      </c>
      <c r="AJ85" s="344" t="s">
        <v>1586</v>
      </c>
      <c r="AK85" s="366">
        <v>0</v>
      </c>
      <c r="AL85" s="366"/>
      <c r="AM85" s="369"/>
      <c r="AN85" s="505">
        <v>0</v>
      </c>
      <c r="AO85" s="448">
        <v>0</v>
      </c>
      <c r="AP85" s="448"/>
      <c r="AQ85" s="438"/>
      <c r="AR85" s="449">
        <f t="shared" si="22"/>
        <v>0</v>
      </c>
      <c r="AS85" s="438"/>
      <c r="AT85" s="438"/>
      <c r="AU85" s="583">
        <f t="shared" si="28"/>
        <v>0</v>
      </c>
      <c r="AV85" s="584"/>
      <c r="AW85" s="370"/>
      <c r="AX85" s="452">
        <f t="shared" si="23"/>
        <v>0</v>
      </c>
      <c r="AY85" s="250">
        <f t="shared" si="12"/>
        <v>0</v>
      </c>
      <c r="AZ85" s="439"/>
      <c r="BA85" s="582"/>
      <c r="BB85" s="462">
        <f t="shared" si="24"/>
        <v>0</v>
      </c>
      <c r="BC85" s="463">
        <f t="shared" si="25"/>
        <v>0</v>
      </c>
      <c r="BD85" s="431"/>
      <c r="BE85" s="435">
        <f t="shared" si="26"/>
        <v>0</v>
      </c>
    </row>
    <row r="86" spans="1:57" ht="15">
      <c r="A86" s="415">
        <v>80</v>
      </c>
      <c r="B86" s="415">
        <v>131</v>
      </c>
      <c r="C86" s="343" t="s">
        <v>764</v>
      </c>
      <c r="D86" s="344" t="s">
        <v>1601</v>
      </c>
      <c r="E86" s="366">
        <v>0</v>
      </c>
      <c r="F86" s="366"/>
      <c r="G86" s="369"/>
      <c r="H86" s="364"/>
      <c r="I86" s="350">
        <f t="shared" si="18"/>
        <v>0</v>
      </c>
      <c r="K86" s="66">
        <f t="shared" si="19"/>
        <v>0</v>
      </c>
      <c r="L86" s="66"/>
      <c r="M86" s="415">
        <v>80</v>
      </c>
      <c r="N86" s="415">
        <v>131</v>
      </c>
      <c r="O86" s="343" t="s">
        <v>764</v>
      </c>
      <c r="P86" s="344" t="s">
        <v>1601</v>
      </c>
      <c r="Q86" s="364"/>
      <c r="R86" t="s">
        <v>2580</v>
      </c>
      <c r="S86" s="250"/>
      <c r="T86" s="159">
        <f t="shared" si="27"/>
        <v>0</v>
      </c>
      <c r="U86" s="250"/>
      <c r="V86" s="415">
        <v>80</v>
      </c>
      <c r="W86" s="343" t="s">
        <v>764</v>
      </c>
      <c r="X86" s="344" t="s">
        <v>1601</v>
      </c>
      <c r="Y86" s="366">
        <v>0</v>
      </c>
      <c r="Z86" s="366"/>
      <c r="AA86" s="369"/>
      <c r="AB86" s="505">
        <v>0</v>
      </c>
      <c r="AC86" s="350">
        <f t="shared" si="20"/>
        <v>0</v>
      </c>
      <c r="AG86" s="159">
        <f t="shared" si="21"/>
        <v>0</v>
      </c>
      <c r="AI86" s="442" t="s">
        <v>764</v>
      </c>
      <c r="AJ86" s="344" t="s">
        <v>1601</v>
      </c>
      <c r="AK86" s="366">
        <v>0</v>
      </c>
      <c r="AL86" s="366"/>
      <c r="AM86" s="369"/>
      <c r="AN86" s="505">
        <v>0</v>
      </c>
      <c r="AO86" s="448">
        <v>0</v>
      </c>
      <c r="AP86" s="448"/>
      <c r="AQ86" s="438"/>
      <c r="AR86" s="449">
        <f t="shared" si="22"/>
        <v>0</v>
      </c>
      <c r="AS86" s="438"/>
      <c r="AT86" s="438"/>
      <c r="AU86" s="583">
        <f t="shared" si="28"/>
        <v>0</v>
      </c>
      <c r="AV86" s="584"/>
      <c r="AW86" s="370"/>
      <c r="AX86" s="452">
        <f t="shared" si="23"/>
        <v>0</v>
      </c>
      <c r="AY86" s="250">
        <f t="shared" si="12"/>
        <v>0</v>
      </c>
      <c r="AZ86" s="439"/>
      <c r="BA86" s="582"/>
      <c r="BB86" s="462">
        <f t="shared" si="24"/>
        <v>0</v>
      </c>
      <c r="BC86" s="463">
        <f t="shared" si="25"/>
        <v>0</v>
      </c>
      <c r="BD86" s="431"/>
      <c r="BE86" s="435">
        <f t="shared" si="26"/>
        <v>0</v>
      </c>
    </row>
    <row r="87" spans="1:57" ht="15">
      <c r="A87" s="415">
        <v>81</v>
      </c>
      <c r="B87" s="415">
        <v>116</v>
      </c>
      <c r="C87" s="343" t="s">
        <v>763</v>
      </c>
      <c r="D87" s="344" t="s">
        <v>1602</v>
      </c>
      <c r="E87" s="366">
        <v>0</v>
      </c>
      <c r="F87" s="366"/>
      <c r="G87" s="369"/>
      <c r="H87" s="364"/>
      <c r="I87" s="350">
        <f t="shared" si="18"/>
        <v>0</v>
      </c>
      <c r="K87" s="66">
        <f t="shared" si="19"/>
        <v>0</v>
      </c>
      <c r="L87" s="66"/>
      <c r="M87" s="415">
        <v>81</v>
      </c>
      <c r="N87" s="415">
        <v>116</v>
      </c>
      <c r="O87" s="343" t="s">
        <v>763</v>
      </c>
      <c r="P87" s="344" t="s">
        <v>1602</v>
      </c>
      <c r="Q87" s="364"/>
      <c r="R87" t="s">
        <v>2580</v>
      </c>
      <c r="S87" s="250"/>
      <c r="T87" s="159">
        <f t="shared" si="27"/>
        <v>0</v>
      </c>
      <c r="U87" s="250"/>
      <c r="V87" s="415">
        <v>81</v>
      </c>
      <c r="W87" s="343" t="s">
        <v>763</v>
      </c>
      <c r="X87" s="344" t="s">
        <v>1602</v>
      </c>
      <c r="Y87" s="366">
        <v>0</v>
      </c>
      <c r="Z87" s="366"/>
      <c r="AA87" s="369"/>
      <c r="AB87" s="505">
        <v>0</v>
      </c>
      <c r="AC87" s="350">
        <f t="shared" si="20"/>
        <v>0</v>
      </c>
      <c r="AG87" s="159">
        <f t="shared" si="21"/>
        <v>0</v>
      </c>
      <c r="AI87" s="442" t="s">
        <v>763</v>
      </c>
      <c r="AJ87" s="344" t="s">
        <v>1602</v>
      </c>
      <c r="AK87" s="366">
        <v>0</v>
      </c>
      <c r="AL87" s="366"/>
      <c r="AM87" s="369"/>
      <c r="AN87" s="505">
        <v>0</v>
      </c>
      <c r="AO87" s="448">
        <v>0</v>
      </c>
      <c r="AP87" s="448"/>
      <c r="AQ87" s="438"/>
      <c r="AR87" s="449">
        <f t="shared" si="22"/>
        <v>0</v>
      </c>
      <c r="AS87" s="438"/>
      <c r="AT87" s="438"/>
      <c r="AU87" s="583">
        <f t="shared" si="28"/>
        <v>0</v>
      </c>
      <c r="AV87" s="584"/>
      <c r="AW87" s="370"/>
      <c r="AX87" s="452">
        <f t="shared" si="23"/>
        <v>0</v>
      </c>
      <c r="AY87" s="250">
        <f t="shared" ref="AY87:AY151" si="29">+AX87-AR87</f>
        <v>0</v>
      </c>
      <c r="AZ87" s="439"/>
      <c r="BA87" s="582"/>
      <c r="BB87" s="462">
        <f t="shared" si="24"/>
        <v>0</v>
      </c>
      <c r="BC87" s="463">
        <f t="shared" si="25"/>
        <v>0</v>
      </c>
      <c r="BD87" s="431"/>
      <c r="BE87" s="435">
        <f t="shared" si="26"/>
        <v>0</v>
      </c>
    </row>
    <row r="88" spans="1:57" ht="15">
      <c r="A88" s="415">
        <v>82</v>
      </c>
      <c r="B88" s="415">
        <v>64</v>
      </c>
      <c r="C88" s="343" t="s">
        <v>762</v>
      </c>
      <c r="D88" s="344" t="s">
        <v>1587</v>
      </c>
      <c r="E88" s="366">
        <v>0</v>
      </c>
      <c r="F88" s="366"/>
      <c r="G88" s="369"/>
      <c r="H88" s="364"/>
      <c r="I88" s="350">
        <f t="shared" si="18"/>
        <v>0</v>
      </c>
      <c r="K88" s="66">
        <f t="shared" si="19"/>
        <v>0</v>
      </c>
      <c r="L88" s="66"/>
      <c r="M88" s="415">
        <v>82</v>
      </c>
      <c r="N88" s="415">
        <v>64</v>
      </c>
      <c r="O88" s="343" t="s">
        <v>762</v>
      </c>
      <c r="P88" s="344" t="s">
        <v>1587</v>
      </c>
      <c r="Q88" s="364"/>
      <c r="R88" t="s">
        <v>2580</v>
      </c>
      <c r="S88" s="250"/>
      <c r="T88" s="159">
        <f t="shared" si="27"/>
        <v>0</v>
      </c>
      <c r="U88" s="250"/>
      <c r="V88" s="415">
        <v>82</v>
      </c>
      <c r="W88" s="343" t="s">
        <v>762</v>
      </c>
      <c r="X88" s="344" t="s">
        <v>1587</v>
      </c>
      <c r="Y88" s="366">
        <v>0</v>
      </c>
      <c r="Z88" s="366"/>
      <c r="AA88" s="369"/>
      <c r="AB88" s="505">
        <v>0</v>
      </c>
      <c r="AC88" s="350">
        <f t="shared" si="20"/>
        <v>0</v>
      </c>
      <c r="AG88" s="159">
        <f t="shared" si="21"/>
        <v>0</v>
      </c>
      <c r="AI88" s="442" t="s">
        <v>762</v>
      </c>
      <c r="AJ88" s="344" t="s">
        <v>1587</v>
      </c>
      <c r="AK88" s="366">
        <v>0</v>
      </c>
      <c r="AL88" s="366"/>
      <c r="AM88" s="369"/>
      <c r="AN88" s="505">
        <v>0</v>
      </c>
      <c r="AO88" s="448">
        <v>0</v>
      </c>
      <c r="AP88" s="448"/>
      <c r="AQ88" s="438"/>
      <c r="AR88" s="449">
        <f t="shared" si="22"/>
        <v>0</v>
      </c>
      <c r="AS88" s="438"/>
      <c r="AT88" s="438"/>
      <c r="AU88" s="583">
        <f t="shared" si="28"/>
        <v>0</v>
      </c>
      <c r="AV88" s="584"/>
      <c r="AW88" s="370"/>
      <c r="AX88" s="452">
        <f t="shared" si="23"/>
        <v>0</v>
      </c>
      <c r="AY88" s="250">
        <f t="shared" si="29"/>
        <v>0</v>
      </c>
      <c r="AZ88" s="439"/>
      <c r="BA88" s="582"/>
      <c r="BB88" s="462">
        <f t="shared" si="24"/>
        <v>0</v>
      </c>
      <c r="BC88" s="463">
        <f t="shared" si="25"/>
        <v>0</v>
      </c>
      <c r="BD88" s="431"/>
      <c r="BE88" s="435">
        <f t="shared" si="26"/>
        <v>0</v>
      </c>
    </row>
    <row r="89" spans="1:57" ht="15">
      <c r="A89" s="415">
        <v>83</v>
      </c>
      <c r="B89" s="415">
        <v>21</v>
      </c>
      <c r="C89" s="343" t="s">
        <v>760</v>
      </c>
      <c r="D89" s="344" t="s">
        <v>1599</v>
      </c>
      <c r="E89" s="366">
        <v>0</v>
      </c>
      <c r="F89" s="366"/>
      <c r="G89" s="369"/>
      <c r="H89" s="364"/>
      <c r="I89" s="350">
        <f t="shared" si="18"/>
        <v>0</v>
      </c>
      <c r="K89" s="66">
        <f t="shared" si="19"/>
        <v>0</v>
      </c>
      <c r="L89" s="66"/>
      <c r="M89" s="415">
        <v>83</v>
      </c>
      <c r="N89" s="415">
        <v>21</v>
      </c>
      <c r="O89" s="343" t="s">
        <v>760</v>
      </c>
      <c r="P89" s="344" t="s">
        <v>1599</v>
      </c>
      <c r="Q89" s="364"/>
      <c r="R89" t="s">
        <v>2580</v>
      </c>
      <c r="S89" s="250"/>
      <c r="T89" s="159">
        <f t="shared" si="27"/>
        <v>0</v>
      </c>
      <c r="U89" s="250"/>
      <c r="V89" s="415">
        <v>83</v>
      </c>
      <c r="W89" s="343" t="s">
        <v>760</v>
      </c>
      <c r="X89" s="344" t="s">
        <v>1599</v>
      </c>
      <c r="Y89" s="366">
        <v>0</v>
      </c>
      <c r="Z89" s="366"/>
      <c r="AA89" s="369"/>
      <c r="AB89" s="505">
        <v>0</v>
      </c>
      <c r="AC89" s="350">
        <f t="shared" si="20"/>
        <v>0</v>
      </c>
      <c r="AG89" s="159">
        <f t="shared" si="21"/>
        <v>0</v>
      </c>
      <c r="AI89" s="442" t="s">
        <v>760</v>
      </c>
      <c r="AJ89" s="344" t="s">
        <v>1599</v>
      </c>
      <c r="AK89" s="366">
        <v>0</v>
      </c>
      <c r="AL89" s="366"/>
      <c r="AM89" s="369"/>
      <c r="AN89" s="505">
        <v>0</v>
      </c>
      <c r="AO89" s="448">
        <v>0</v>
      </c>
      <c r="AP89" s="448"/>
      <c r="AQ89" s="438"/>
      <c r="AR89" s="449">
        <f t="shared" si="22"/>
        <v>0</v>
      </c>
      <c r="AS89" s="438"/>
      <c r="AT89" s="438"/>
      <c r="AU89" s="583">
        <f t="shared" si="28"/>
        <v>0</v>
      </c>
      <c r="AV89" s="584"/>
      <c r="AW89" s="370"/>
      <c r="AX89" s="452">
        <f t="shared" si="23"/>
        <v>0</v>
      </c>
      <c r="AY89" s="250">
        <f t="shared" si="29"/>
        <v>0</v>
      </c>
      <c r="AZ89" s="439"/>
      <c r="BA89" s="582"/>
      <c r="BB89" s="462">
        <f t="shared" si="24"/>
        <v>0</v>
      </c>
      <c r="BC89" s="463">
        <f t="shared" si="25"/>
        <v>0</v>
      </c>
      <c r="BD89" s="431"/>
      <c r="BE89" s="435">
        <f t="shared" si="26"/>
        <v>0</v>
      </c>
    </row>
    <row r="90" spans="1:57" ht="15">
      <c r="A90" s="415">
        <v>84</v>
      </c>
      <c r="B90" s="415">
        <v>225</v>
      </c>
      <c r="C90" s="344" t="s">
        <v>765</v>
      </c>
      <c r="D90" s="344" t="s">
        <v>1600</v>
      </c>
      <c r="E90" s="366">
        <v>0</v>
      </c>
      <c r="F90" s="366"/>
      <c r="G90" s="369"/>
      <c r="H90" s="364"/>
      <c r="I90" s="350">
        <f t="shared" si="18"/>
        <v>0</v>
      </c>
      <c r="K90" s="66">
        <f t="shared" si="19"/>
        <v>0</v>
      </c>
      <c r="L90" s="66"/>
      <c r="M90" s="415">
        <v>84</v>
      </c>
      <c r="N90" s="415">
        <v>225</v>
      </c>
      <c r="O90" s="344" t="s">
        <v>765</v>
      </c>
      <c r="P90" s="344" t="s">
        <v>1600</v>
      </c>
      <c r="Q90" s="364"/>
      <c r="R90" t="s">
        <v>2580</v>
      </c>
      <c r="S90" s="250"/>
      <c r="T90" s="159">
        <f t="shared" si="27"/>
        <v>0</v>
      </c>
      <c r="U90" s="250"/>
      <c r="V90" s="415">
        <v>84</v>
      </c>
      <c r="W90" s="344" t="s">
        <v>765</v>
      </c>
      <c r="X90" s="344" t="s">
        <v>1600</v>
      </c>
      <c r="Y90" s="366">
        <v>0</v>
      </c>
      <c r="Z90" s="366"/>
      <c r="AA90" s="369"/>
      <c r="AB90" s="505">
        <v>0</v>
      </c>
      <c r="AC90" s="350">
        <f t="shared" si="20"/>
        <v>0</v>
      </c>
      <c r="AG90" s="159">
        <f t="shared" si="21"/>
        <v>0</v>
      </c>
      <c r="AI90" s="442" t="s">
        <v>765</v>
      </c>
      <c r="AJ90" s="344" t="s">
        <v>1600</v>
      </c>
      <c r="AK90" s="366">
        <v>0</v>
      </c>
      <c r="AL90" s="366"/>
      <c r="AM90" s="369"/>
      <c r="AN90" s="505">
        <v>0</v>
      </c>
      <c r="AO90" s="448">
        <v>0</v>
      </c>
      <c r="AP90" s="448"/>
      <c r="AQ90" s="438"/>
      <c r="AR90" s="449">
        <f t="shared" ref="AR90:AR92" si="30">SUM(AL90:AN90)</f>
        <v>0</v>
      </c>
      <c r="AS90" s="438"/>
      <c r="AT90" s="438"/>
      <c r="AU90" s="583">
        <f t="shared" si="28"/>
        <v>0</v>
      </c>
      <c r="AV90" s="584"/>
      <c r="AW90" s="370"/>
      <c r="AX90" s="452">
        <f t="shared" si="23"/>
        <v>0</v>
      </c>
      <c r="AY90" s="250">
        <f t="shared" si="29"/>
        <v>0</v>
      </c>
      <c r="AZ90" s="439"/>
      <c r="BA90" s="582"/>
      <c r="BB90" s="462">
        <f t="shared" si="24"/>
        <v>0</v>
      </c>
      <c r="BC90" s="463">
        <f t="shared" si="25"/>
        <v>0</v>
      </c>
      <c r="BD90" s="431"/>
      <c r="BE90" s="435">
        <f t="shared" si="26"/>
        <v>0</v>
      </c>
    </row>
    <row r="91" spans="1:57" ht="15">
      <c r="A91" s="415">
        <v>85</v>
      </c>
      <c r="B91" s="415">
        <v>151</v>
      </c>
      <c r="C91" s="339" t="s">
        <v>418</v>
      </c>
      <c r="D91" s="340" t="s">
        <v>419</v>
      </c>
      <c r="E91" s="372"/>
      <c r="F91" s="363"/>
      <c r="G91" s="369">
        <v>-75851.735488000006</v>
      </c>
      <c r="H91" s="364">
        <v>-67924.459999999992</v>
      </c>
      <c r="I91" s="350">
        <f t="shared" si="18"/>
        <v>-143776.195488</v>
      </c>
      <c r="K91" s="66">
        <f t="shared" si="19"/>
        <v>0</v>
      </c>
      <c r="L91" s="66"/>
      <c r="M91" s="415">
        <v>85</v>
      </c>
      <c r="N91" s="415">
        <v>151</v>
      </c>
      <c r="O91" s="66" t="s">
        <v>418</v>
      </c>
      <c r="P91" s="340" t="s">
        <v>419</v>
      </c>
      <c r="Q91" s="364">
        <v>-67924.459999999992</v>
      </c>
      <c r="R91" t="s">
        <v>2580</v>
      </c>
      <c r="S91" s="250"/>
      <c r="T91" s="159">
        <f t="shared" si="27"/>
        <v>0</v>
      </c>
      <c r="U91" s="250"/>
      <c r="V91" s="415">
        <v>85</v>
      </c>
      <c r="W91" s="339" t="s">
        <v>418</v>
      </c>
      <c r="X91" s="340" t="s">
        <v>419</v>
      </c>
      <c r="Y91" s="372">
        <v>0</v>
      </c>
      <c r="Z91" s="363"/>
      <c r="AA91" s="369"/>
      <c r="AB91" s="505">
        <v>-75851.735488000006</v>
      </c>
      <c r="AC91" s="350">
        <f t="shared" si="20"/>
        <v>-75851.735488000006</v>
      </c>
      <c r="AG91" s="159">
        <f t="shared" si="21"/>
        <v>0</v>
      </c>
      <c r="AI91" s="442" t="s">
        <v>418</v>
      </c>
      <c r="AJ91" s="340" t="s">
        <v>419</v>
      </c>
      <c r="AK91" s="372">
        <v>0</v>
      </c>
      <c r="AL91" s="363"/>
      <c r="AM91" s="369"/>
      <c r="AN91" s="505">
        <v>-75851.735488000006</v>
      </c>
      <c r="AO91" s="448">
        <v>0</v>
      </c>
      <c r="AP91" s="448"/>
      <c r="AQ91" s="438"/>
      <c r="AR91" s="449">
        <f t="shared" si="30"/>
        <v>-75851.735488000006</v>
      </c>
      <c r="AS91" s="438"/>
      <c r="AT91" s="438"/>
      <c r="AU91" s="363"/>
      <c r="AV91" s="369"/>
      <c r="AW91" s="505">
        <v>-75851.735488000006</v>
      </c>
      <c r="AX91" s="452">
        <f t="shared" si="23"/>
        <v>-75851.735488000006</v>
      </c>
      <c r="AY91" s="250">
        <f t="shared" si="29"/>
        <v>0</v>
      </c>
      <c r="AZ91" s="439"/>
      <c r="BA91" s="582">
        <v>-67924.459999999992</v>
      </c>
      <c r="BB91" s="462">
        <f t="shared" si="24"/>
        <v>-143776.195488</v>
      </c>
      <c r="BC91" s="463">
        <f t="shared" si="25"/>
        <v>0</v>
      </c>
      <c r="BD91" s="431"/>
      <c r="BE91" s="435">
        <f t="shared" si="26"/>
        <v>0</v>
      </c>
    </row>
    <row r="92" spans="1:57" ht="15">
      <c r="A92" s="415">
        <v>86</v>
      </c>
      <c r="B92" s="415">
        <v>230</v>
      </c>
      <c r="C92" t="s">
        <v>564</v>
      </c>
      <c r="D92" t="s">
        <v>1004</v>
      </c>
      <c r="E92" s="364">
        <v>571216.72645321838</v>
      </c>
      <c r="F92" s="364">
        <v>771852.65427968744</v>
      </c>
      <c r="G92" s="369">
        <v>666226.69187200069</v>
      </c>
      <c r="H92" s="364">
        <v>-131715.27293026261</v>
      </c>
      <c r="I92" s="350">
        <f t="shared" si="18"/>
        <v>1877580.7996746439</v>
      </c>
      <c r="K92" s="66">
        <f t="shared" si="19"/>
        <v>0</v>
      </c>
      <c r="L92" s="66"/>
      <c r="M92" s="415">
        <v>86</v>
      </c>
      <c r="N92" s="415">
        <v>230</v>
      </c>
      <c r="O92" s="66" t="s">
        <v>564</v>
      </c>
      <c r="P92" t="s">
        <v>1004</v>
      </c>
      <c r="Q92" s="364">
        <v>-131715.27293026261</v>
      </c>
      <c r="R92" t="s">
        <v>2580</v>
      </c>
      <c r="S92" s="250"/>
      <c r="T92" s="159">
        <f t="shared" si="27"/>
        <v>0</v>
      </c>
      <c r="U92" s="250"/>
      <c r="V92" s="415">
        <v>86</v>
      </c>
      <c r="W92" t="s">
        <v>564</v>
      </c>
      <c r="X92" t="s">
        <v>1004</v>
      </c>
      <c r="Y92" s="364">
        <v>0</v>
      </c>
      <c r="Z92" s="364">
        <v>571216.72645321838</v>
      </c>
      <c r="AA92" s="369">
        <v>771852.65427968744</v>
      </c>
      <c r="AB92" s="505">
        <v>666226.69187200069</v>
      </c>
      <c r="AC92" s="350">
        <f t="shared" si="20"/>
        <v>2009296.0726049065</v>
      </c>
      <c r="AG92" s="159">
        <f t="shared" si="21"/>
        <v>0</v>
      </c>
      <c r="AI92" s="442" t="s">
        <v>564</v>
      </c>
      <c r="AJ92" t="s">
        <v>1004</v>
      </c>
      <c r="AK92" s="364">
        <v>0</v>
      </c>
      <c r="AL92" s="364">
        <v>571216.72645321838</v>
      </c>
      <c r="AM92" s="369">
        <v>771852.65427968744</v>
      </c>
      <c r="AN92" s="505">
        <v>666226.69187200069</v>
      </c>
      <c r="AO92" s="448">
        <v>1343069.3807329058</v>
      </c>
      <c r="AP92" s="450"/>
      <c r="AQ92" s="438"/>
      <c r="AR92" s="449">
        <f t="shared" si="30"/>
        <v>2009296.0726049065</v>
      </c>
      <c r="AS92" s="438"/>
      <c r="AT92" s="438"/>
      <c r="AU92" s="364">
        <v>571216.72645321838</v>
      </c>
      <c r="AV92" s="369">
        <v>771852.65427968744</v>
      </c>
      <c r="AW92" s="505">
        <v>666226.69187200069</v>
      </c>
      <c r="AX92" s="452">
        <f t="shared" si="23"/>
        <v>2009296.0726049065</v>
      </c>
      <c r="AY92" s="250">
        <f t="shared" si="29"/>
        <v>0</v>
      </c>
      <c r="AZ92" s="439"/>
      <c r="BA92" s="582">
        <v>-131715.27293026261</v>
      </c>
      <c r="BB92" s="462">
        <f t="shared" si="24"/>
        <v>1877580.7996746439</v>
      </c>
      <c r="BC92" s="463">
        <f t="shared" si="25"/>
        <v>0</v>
      </c>
      <c r="BD92" s="431"/>
      <c r="BE92" s="435">
        <f t="shared" si="26"/>
        <v>0</v>
      </c>
    </row>
    <row r="93" spans="1:57" ht="15">
      <c r="A93" s="415">
        <v>87</v>
      </c>
      <c r="B93" s="415">
        <v>34</v>
      </c>
      <c r="C93" t="s">
        <v>222</v>
      </c>
      <c r="D93" t="s">
        <v>1611</v>
      </c>
      <c r="E93" s="364">
        <v>5073708.407356143</v>
      </c>
      <c r="F93" s="364">
        <v>2407816.8173231459</v>
      </c>
      <c r="G93" s="369">
        <v>1715344.3316560034</v>
      </c>
      <c r="H93" s="364">
        <v>-2877091.3536986355</v>
      </c>
      <c r="I93" s="350">
        <f t="shared" si="18"/>
        <v>6319778.2026366573</v>
      </c>
      <c r="K93" s="66">
        <f t="shared" si="19"/>
        <v>0</v>
      </c>
      <c r="L93" s="66"/>
      <c r="M93" s="415">
        <v>87</v>
      </c>
      <c r="N93" s="415">
        <v>34</v>
      </c>
      <c r="O93" s="66" t="s">
        <v>222</v>
      </c>
      <c r="P93" t="s">
        <v>1611</v>
      </c>
      <c r="Q93" s="364">
        <v>-2877091.3536986355</v>
      </c>
      <c r="R93" t="s">
        <v>2580</v>
      </c>
      <c r="S93" s="250"/>
      <c r="T93" s="159">
        <f t="shared" si="27"/>
        <v>0</v>
      </c>
      <c r="U93" s="250"/>
      <c r="V93" s="415">
        <v>87</v>
      </c>
      <c r="W93" t="s">
        <v>222</v>
      </c>
      <c r="X93" t="s">
        <v>1611</v>
      </c>
      <c r="Y93" s="364">
        <v>2943664.6124969423</v>
      </c>
      <c r="Z93" s="364">
        <v>2130043.7948592007</v>
      </c>
      <c r="AA93" s="369">
        <v>2407816.8173231459</v>
      </c>
      <c r="AB93" s="505">
        <v>1715344.3316560034</v>
      </c>
      <c r="AC93" s="350">
        <f t="shared" si="20"/>
        <v>9196869.5563352928</v>
      </c>
      <c r="AG93" s="159">
        <f t="shared" si="21"/>
        <v>0</v>
      </c>
      <c r="AI93" s="442" t="s">
        <v>222</v>
      </c>
      <c r="AJ93" t="s">
        <v>1611</v>
      </c>
      <c r="AK93" s="364">
        <v>0</v>
      </c>
      <c r="AL93" s="364">
        <v>5073708.407356143</v>
      </c>
      <c r="AM93" s="369">
        <v>2407816.8173231459</v>
      </c>
      <c r="AN93" s="505">
        <v>1715344.3316560034</v>
      </c>
      <c r="AO93" s="448">
        <v>7481525.2246792894</v>
      </c>
      <c r="AP93" s="448">
        <f>+AK93+AL93</f>
        <v>5073708.407356143</v>
      </c>
      <c r="AQ93" s="438"/>
      <c r="AR93" s="449">
        <f t="shared" ref="AR93:AR124" si="31">SUM(AL93:AN93)</f>
        <v>9196869.5563352928</v>
      </c>
      <c r="AS93" s="438"/>
      <c r="AT93" s="438"/>
      <c r="AU93" s="364">
        <v>5073708.407356143</v>
      </c>
      <c r="AV93" s="369">
        <v>2407816.8173231459</v>
      </c>
      <c r="AW93" s="505">
        <v>1715344.3316560034</v>
      </c>
      <c r="AX93" s="452">
        <f t="shared" si="23"/>
        <v>9196869.5563352928</v>
      </c>
      <c r="AY93" s="250">
        <f t="shared" si="29"/>
        <v>0</v>
      </c>
      <c r="AZ93" s="439"/>
      <c r="BA93" s="582">
        <v>-2877091.3536986355</v>
      </c>
      <c r="BB93" s="462">
        <f t="shared" si="24"/>
        <v>6319778.2026366573</v>
      </c>
      <c r="BC93" s="463">
        <f t="shared" si="25"/>
        <v>0</v>
      </c>
      <c r="BD93" s="431"/>
      <c r="BE93" s="435">
        <f t="shared" si="26"/>
        <v>0</v>
      </c>
    </row>
    <row r="94" spans="1:57" ht="15">
      <c r="A94" s="415">
        <v>88</v>
      </c>
      <c r="B94" s="415">
        <v>269</v>
      </c>
      <c r="C94" t="s">
        <v>632</v>
      </c>
      <c r="D94" t="s">
        <v>1627</v>
      </c>
      <c r="E94" s="364">
        <v>-44272.216110000008</v>
      </c>
      <c r="F94" s="364">
        <v>-52726.874000000003</v>
      </c>
      <c r="G94" s="369">
        <v>-57684.187912000016</v>
      </c>
      <c r="H94" s="364">
        <v>-73376.661516000007</v>
      </c>
      <c r="I94" s="350">
        <f t="shared" si="18"/>
        <v>-228059.93953800004</v>
      </c>
      <c r="K94" s="66">
        <f t="shared" si="19"/>
        <v>0</v>
      </c>
      <c r="L94" s="66"/>
      <c r="M94" s="415">
        <v>88</v>
      </c>
      <c r="N94" s="415">
        <v>269</v>
      </c>
      <c r="O94" s="66" t="s">
        <v>632</v>
      </c>
      <c r="P94" t="s">
        <v>1627</v>
      </c>
      <c r="Q94" s="364">
        <v>-73376.661516000007</v>
      </c>
      <c r="R94" t="s">
        <v>2580</v>
      </c>
      <c r="S94" s="250"/>
      <c r="T94" s="159">
        <f t="shared" si="27"/>
        <v>0</v>
      </c>
      <c r="U94" s="250"/>
      <c r="V94" s="415">
        <v>88</v>
      </c>
      <c r="W94" t="s">
        <v>632</v>
      </c>
      <c r="X94" t="s">
        <v>1627</v>
      </c>
      <c r="Y94" s="364">
        <v>-34518.222080000007</v>
      </c>
      <c r="Z94" s="364">
        <v>-44272.216110000008</v>
      </c>
      <c r="AA94" s="369">
        <v>-52726.874000000003</v>
      </c>
      <c r="AB94" s="505">
        <v>-57684.187912000016</v>
      </c>
      <c r="AC94" s="350">
        <f t="shared" si="20"/>
        <v>-189201.50010200005</v>
      </c>
      <c r="AG94" s="159">
        <f t="shared" si="21"/>
        <v>0</v>
      </c>
      <c r="AI94" s="442" t="s">
        <v>632</v>
      </c>
      <c r="AJ94" t="s">
        <v>1627</v>
      </c>
      <c r="AK94" s="364">
        <v>0</v>
      </c>
      <c r="AL94" s="364">
        <v>-44272.216110000008</v>
      </c>
      <c r="AM94" s="369">
        <v>-52726.874000000003</v>
      </c>
      <c r="AN94" s="505">
        <v>-57684.187912000016</v>
      </c>
      <c r="AO94" s="448">
        <v>-170011.68219000002</v>
      </c>
      <c r="AP94" s="448"/>
      <c r="AQ94" s="438"/>
      <c r="AR94" s="449">
        <f t="shared" si="31"/>
        <v>-154683.27802200004</v>
      </c>
      <c r="AS94" s="438"/>
      <c r="AT94" s="438"/>
      <c r="AU94" s="364">
        <v>-44272.216110000008</v>
      </c>
      <c r="AV94" s="369">
        <v>-52726.874000000003</v>
      </c>
      <c r="AW94" s="505">
        <v>-57684.187912000016</v>
      </c>
      <c r="AX94" s="452">
        <f t="shared" si="23"/>
        <v>-154683.27802200004</v>
      </c>
      <c r="AY94" s="250">
        <f t="shared" si="29"/>
        <v>0</v>
      </c>
      <c r="AZ94" s="439"/>
      <c r="BA94" s="582">
        <v>-73376.661516000007</v>
      </c>
      <c r="BB94" s="462">
        <f t="shared" si="24"/>
        <v>-228059.93953800004</v>
      </c>
      <c r="BC94" s="463">
        <f t="shared" si="25"/>
        <v>0</v>
      </c>
      <c r="BD94" s="431"/>
      <c r="BE94" s="435">
        <f t="shared" si="26"/>
        <v>0</v>
      </c>
    </row>
    <row r="95" spans="1:57" ht="15">
      <c r="A95" s="415">
        <v>89</v>
      </c>
      <c r="B95" s="415">
        <v>98</v>
      </c>
      <c r="C95" t="s">
        <v>340</v>
      </c>
      <c r="D95" t="s">
        <v>907</v>
      </c>
      <c r="E95" s="364">
        <v>222717.69202448404</v>
      </c>
      <c r="F95" s="364">
        <v>-927085.10050530208</v>
      </c>
      <c r="G95" s="369">
        <v>-1352024.3216799982</v>
      </c>
      <c r="H95" s="364">
        <v>-778650.23314941116</v>
      </c>
      <c r="I95" s="350">
        <f t="shared" si="18"/>
        <v>-2835041.9633102273</v>
      </c>
      <c r="K95" s="66">
        <f t="shared" si="19"/>
        <v>0</v>
      </c>
      <c r="L95" s="66"/>
      <c r="M95" s="415">
        <v>89</v>
      </c>
      <c r="N95" s="415">
        <v>98</v>
      </c>
      <c r="O95" s="66" t="s">
        <v>340</v>
      </c>
      <c r="P95" t="s">
        <v>907</v>
      </c>
      <c r="Q95" s="364">
        <v>-778650.23314941116</v>
      </c>
      <c r="R95" t="s">
        <v>2580</v>
      </c>
      <c r="S95" s="250"/>
      <c r="T95" s="159">
        <f t="shared" si="27"/>
        <v>0</v>
      </c>
      <c r="U95" s="250"/>
      <c r="V95" s="415">
        <v>89</v>
      </c>
      <c r="W95" t="s">
        <v>340</v>
      </c>
      <c r="X95" t="s">
        <v>907</v>
      </c>
      <c r="Y95" s="364">
        <v>-1230473.9446492705</v>
      </c>
      <c r="Z95" s="364">
        <v>222717.69202448404</v>
      </c>
      <c r="AA95" s="369">
        <v>-927085.10050530208</v>
      </c>
      <c r="AB95" s="505">
        <v>-1352024.3216799982</v>
      </c>
      <c r="AC95" s="350">
        <f t="shared" si="20"/>
        <v>-3286865.6748100868</v>
      </c>
      <c r="AG95" s="159">
        <f t="shared" si="21"/>
        <v>0</v>
      </c>
      <c r="AI95" s="442" t="s">
        <v>340</v>
      </c>
      <c r="AJ95" t="s">
        <v>907</v>
      </c>
      <c r="AK95" s="364">
        <v>0</v>
      </c>
      <c r="AL95" s="364">
        <v>222717.69202448404</v>
      </c>
      <c r="AM95" s="369">
        <v>-927085.10050530208</v>
      </c>
      <c r="AN95" s="505">
        <v>-1352024.3216799982</v>
      </c>
      <c r="AO95" s="448">
        <v>-3257091.7431300883</v>
      </c>
      <c r="AP95" s="448"/>
      <c r="AQ95" s="438"/>
      <c r="AR95" s="449">
        <f t="shared" si="31"/>
        <v>-2056391.7301608161</v>
      </c>
      <c r="AS95" s="438"/>
      <c r="AT95" s="438"/>
      <c r="AU95" s="364">
        <v>222717.69202448404</v>
      </c>
      <c r="AV95" s="369">
        <v>-927085.10050530208</v>
      </c>
      <c r="AW95" s="505">
        <v>-1352024.3216799982</v>
      </c>
      <c r="AX95" s="452">
        <f t="shared" si="23"/>
        <v>-2056391.7301608161</v>
      </c>
      <c r="AY95" s="250">
        <f t="shared" si="29"/>
        <v>0</v>
      </c>
      <c r="AZ95" s="439"/>
      <c r="BA95" s="582">
        <v>-778650.23314941116</v>
      </c>
      <c r="BB95" s="462">
        <f t="shared" si="24"/>
        <v>-2835041.9633102273</v>
      </c>
      <c r="BC95" s="463">
        <f t="shared" si="25"/>
        <v>0</v>
      </c>
      <c r="BD95" s="431"/>
      <c r="BE95" s="435">
        <f t="shared" si="26"/>
        <v>0</v>
      </c>
    </row>
    <row r="96" spans="1:57" ht="15">
      <c r="A96" s="415">
        <v>90</v>
      </c>
      <c r="B96" s="415">
        <v>293</v>
      </c>
      <c r="C96" t="s">
        <v>673</v>
      </c>
      <c r="D96" t="s">
        <v>1053</v>
      </c>
      <c r="E96" s="364">
        <v>-106668.91415000008</v>
      </c>
      <c r="F96" s="364">
        <v>-284378.79653471021</v>
      </c>
      <c r="G96" s="369">
        <v>-241184.89790000021</v>
      </c>
      <c r="H96" s="364">
        <v>-400444.73930948181</v>
      </c>
      <c r="I96" s="350">
        <f t="shared" si="18"/>
        <v>-1032677.3478941923</v>
      </c>
      <c r="K96" s="66">
        <f t="shared" si="19"/>
        <v>0</v>
      </c>
      <c r="L96" s="66"/>
      <c r="M96" s="415">
        <v>90</v>
      </c>
      <c r="N96" s="415">
        <v>293</v>
      </c>
      <c r="O96" s="66" t="s">
        <v>673</v>
      </c>
      <c r="P96" t="s">
        <v>1053</v>
      </c>
      <c r="Q96" s="364">
        <v>-400444.73930948181</v>
      </c>
      <c r="R96" t="s">
        <v>2580</v>
      </c>
      <c r="S96" s="250"/>
      <c r="T96" s="159">
        <f t="shared" si="27"/>
        <v>0</v>
      </c>
      <c r="U96" s="250"/>
      <c r="V96" s="415">
        <v>90</v>
      </c>
      <c r="W96" t="s">
        <v>673</v>
      </c>
      <c r="X96" t="s">
        <v>1053</v>
      </c>
      <c r="Y96" s="364">
        <v>-559150.14079465612</v>
      </c>
      <c r="Z96" s="364">
        <v>-106668.91415000008</v>
      </c>
      <c r="AA96" s="369">
        <v>-284378.79653471021</v>
      </c>
      <c r="AB96" s="505">
        <v>-241184.89790000021</v>
      </c>
      <c r="AC96" s="350">
        <f t="shared" si="20"/>
        <v>-1191382.7493793666</v>
      </c>
      <c r="AG96" s="159">
        <f t="shared" si="21"/>
        <v>0</v>
      </c>
      <c r="AI96" s="442" t="s">
        <v>673</v>
      </c>
      <c r="AJ96" t="s">
        <v>1053</v>
      </c>
      <c r="AK96" s="364">
        <v>0</v>
      </c>
      <c r="AL96" s="364">
        <v>-106668.91415000008</v>
      </c>
      <c r="AM96" s="369">
        <v>-284378.79653471021</v>
      </c>
      <c r="AN96" s="505">
        <v>-241184.89790000021</v>
      </c>
      <c r="AO96" s="448">
        <v>-1405918.3014793666</v>
      </c>
      <c r="AP96" s="448"/>
      <c r="AQ96" s="438"/>
      <c r="AR96" s="449">
        <f t="shared" si="31"/>
        <v>-632232.60858471051</v>
      </c>
      <c r="AS96" s="438"/>
      <c r="AT96" s="438"/>
      <c r="AU96" s="364">
        <v>-106668.91415000008</v>
      </c>
      <c r="AV96" s="369">
        <v>-284378.79653471021</v>
      </c>
      <c r="AW96" s="505">
        <v>-241184.89790000021</v>
      </c>
      <c r="AX96" s="452">
        <f t="shared" si="23"/>
        <v>-632232.60858471051</v>
      </c>
      <c r="AY96" s="250">
        <f t="shared" si="29"/>
        <v>0</v>
      </c>
      <c r="AZ96" s="439"/>
      <c r="BA96" s="582">
        <v>-400444.73930948181</v>
      </c>
      <c r="BB96" s="462">
        <f t="shared" si="24"/>
        <v>-1032677.3478941923</v>
      </c>
      <c r="BC96" s="463">
        <f t="shared" si="25"/>
        <v>0</v>
      </c>
      <c r="BD96" s="431"/>
      <c r="BE96" s="435">
        <f t="shared" si="26"/>
        <v>0</v>
      </c>
    </row>
    <row r="97" spans="1:57" ht="15">
      <c r="A97" s="415">
        <v>91</v>
      </c>
      <c r="B97" s="415">
        <v>210</v>
      </c>
      <c r="C97" t="s">
        <v>533</v>
      </c>
      <c r="D97" t="s">
        <v>996</v>
      </c>
      <c r="E97" s="364">
        <v>0</v>
      </c>
      <c r="F97" s="364">
        <v>-318955.71833694982</v>
      </c>
      <c r="G97" s="369">
        <v>-382095.30692199944</v>
      </c>
      <c r="H97" s="364">
        <v>-597626.23261592048</v>
      </c>
      <c r="I97" s="350">
        <f t="shared" si="18"/>
        <v>-1298677.2578748697</v>
      </c>
      <c r="K97" s="66">
        <f t="shared" si="19"/>
        <v>0</v>
      </c>
      <c r="L97" s="66"/>
      <c r="M97" s="415">
        <v>91</v>
      </c>
      <c r="N97" s="415">
        <v>210</v>
      </c>
      <c r="O97" s="66" t="s">
        <v>533</v>
      </c>
      <c r="P97" t="s">
        <v>996</v>
      </c>
      <c r="Q97" s="364">
        <v>-597626.23261592048</v>
      </c>
      <c r="R97" t="s">
        <v>2580</v>
      </c>
      <c r="S97" s="250"/>
      <c r="T97" s="159">
        <f t="shared" si="27"/>
        <v>0</v>
      </c>
      <c r="U97" s="250"/>
      <c r="V97" s="415">
        <v>91</v>
      </c>
      <c r="W97" t="s">
        <v>533</v>
      </c>
      <c r="X97" t="s">
        <v>996</v>
      </c>
      <c r="Y97" s="364">
        <v>-367358.13046548242</v>
      </c>
      <c r="Z97" s="364">
        <v>0</v>
      </c>
      <c r="AA97" s="369">
        <v>-318955.71833694982</v>
      </c>
      <c r="AB97" s="505">
        <v>-382095.30692199944</v>
      </c>
      <c r="AC97" s="350">
        <f t="shared" si="20"/>
        <v>-1068409.1557244316</v>
      </c>
      <c r="AG97" s="159">
        <f t="shared" si="21"/>
        <v>0</v>
      </c>
      <c r="AI97" s="442" t="s">
        <v>533</v>
      </c>
      <c r="AJ97" t="s">
        <v>996</v>
      </c>
      <c r="AK97" s="364">
        <v>0</v>
      </c>
      <c r="AL97" s="364">
        <v>0</v>
      </c>
      <c r="AM97" s="369">
        <v>-318955.71833694982</v>
      </c>
      <c r="AN97" s="505">
        <v>-382095.30692199944</v>
      </c>
      <c r="AO97" s="448">
        <v>-686313.84880243219</v>
      </c>
      <c r="AP97" s="448"/>
      <c r="AQ97" s="438"/>
      <c r="AR97" s="449">
        <f t="shared" si="31"/>
        <v>-701051.02525894926</v>
      </c>
      <c r="AS97" s="438"/>
      <c r="AT97" s="438"/>
      <c r="AU97" s="364">
        <v>0</v>
      </c>
      <c r="AV97" s="369">
        <v>-318955.71833694982</v>
      </c>
      <c r="AW97" s="505">
        <v>-382095.30692199944</v>
      </c>
      <c r="AX97" s="452">
        <f t="shared" si="23"/>
        <v>-701051.02525894926</v>
      </c>
      <c r="AY97" s="250">
        <f t="shared" si="29"/>
        <v>0</v>
      </c>
      <c r="AZ97" s="439"/>
      <c r="BA97" s="582">
        <v>-597626.23261592048</v>
      </c>
      <c r="BB97" s="462">
        <f t="shared" si="24"/>
        <v>-1298677.2578748697</v>
      </c>
      <c r="BC97" s="463">
        <f t="shared" si="25"/>
        <v>0</v>
      </c>
      <c r="BD97" s="431"/>
      <c r="BE97" s="435">
        <f t="shared" si="26"/>
        <v>0</v>
      </c>
    </row>
    <row r="98" spans="1:57" ht="15">
      <c r="A98" s="415">
        <v>92</v>
      </c>
      <c r="B98" s="415">
        <v>11</v>
      </c>
      <c r="C98" t="s">
        <v>183</v>
      </c>
      <c r="D98" t="s">
        <v>835</v>
      </c>
      <c r="E98" s="364">
        <v>-27580.301087999949</v>
      </c>
      <c r="F98" s="364">
        <v>-24505.498496000058</v>
      </c>
      <c r="G98" s="369">
        <v>-89144.124717999832</v>
      </c>
      <c r="H98" s="364">
        <v>-112152.85008899996</v>
      </c>
      <c r="I98" s="350">
        <f t="shared" si="18"/>
        <v>-253382.77439099981</v>
      </c>
      <c r="K98" s="66">
        <f t="shared" si="19"/>
        <v>0</v>
      </c>
      <c r="L98" s="66"/>
      <c r="M98" s="415">
        <v>92</v>
      </c>
      <c r="N98" s="415">
        <v>11</v>
      </c>
      <c r="O98" s="66" t="s">
        <v>183</v>
      </c>
      <c r="P98" t="s">
        <v>835</v>
      </c>
      <c r="Q98" s="364">
        <v>-112152.85008899996</v>
      </c>
      <c r="R98" t="s">
        <v>2580</v>
      </c>
      <c r="S98" s="250"/>
      <c r="T98" s="159">
        <f t="shared" si="27"/>
        <v>0</v>
      </c>
      <c r="U98" s="250"/>
      <c r="V98" s="415">
        <v>92</v>
      </c>
      <c r="W98" t="s">
        <v>183</v>
      </c>
      <c r="X98" t="s">
        <v>835</v>
      </c>
      <c r="Y98" s="364">
        <v>-279462.69585699984</v>
      </c>
      <c r="Z98" s="364">
        <v>-27580.301087999949</v>
      </c>
      <c r="AA98" s="369">
        <v>-24505.498496000058</v>
      </c>
      <c r="AB98" s="505">
        <v>-89144.124717999832</v>
      </c>
      <c r="AC98" s="350">
        <f t="shared" si="20"/>
        <v>-420692.62015899969</v>
      </c>
      <c r="AG98" s="159">
        <f t="shared" si="21"/>
        <v>0</v>
      </c>
      <c r="AI98" s="442" t="s">
        <v>183</v>
      </c>
      <c r="AJ98" t="s">
        <v>835</v>
      </c>
      <c r="AK98" s="364">
        <v>0</v>
      </c>
      <c r="AL98" s="364">
        <v>-27580.301087999949</v>
      </c>
      <c r="AM98" s="369">
        <v>-24505.498496000058</v>
      </c>
      <c r="AN98" s="505">
        <v>-89144.124717999832</v>
      </c>
      <c r="AO98" s="448">
        <v>-517295.92544099985</v>
      </c>
      <c r="AP98" s="448"/>
      <c r="AQ98" s="438"/>
      <c r="AR98" s="449">
        <f t="shared" si="31"/>
        <v>-141229.92430199985</v>
      </c>
      <c r="AS98" s="438"/>
      <c r="AT98" s="438"/>
      <c r="AU98" s="364">
        <v>-27580.301087999949</v>
      </c>
      <c r="AV98" s="369">
        <v>-24505.498496000058</v>
      </c>
      <c r="AW98" s="505">
        <v>-89144.124717999832</v>
      </c>
      <c r="AX98" s="452">
        <f t="shared" si="23"/>
        <v>-141229.92430199985</v>
      </c>
      <c r="AY98" s="250">
        <f t="shared" si="29"/>
        <v>0</v>
      </c>
      <c r="AZ98" s="439"/>
      <c r="BA98" s="582">
        <v>-112152.85008899996</v>
      </c>
      <c r="BB98" s="462">
        <f t="shared" si="24"/>
        <v>-253382.77439099981</v>
      </c>
      <c r="BC98" s="463">
        <f t="shared" si="25"/>
        <v>0</v>
      </c>
      <c r="BD98" s="431"/>
      <c r="BE98" s="435">
        <f t="shared" si="26"/>
        <v>0</v>
      </c>
    </row>
    <row r="99" spans="1:57" ht="15">
      <c r="A99" s="415">
        <v>93</v>
      </c>
      <c r="B99" s="415">
        <v>206</v>
      </c>
      <c r="C99" t="s">
        <v>525</v>
      </c>
      <c r="D99" t="s">
        <v>992</v>
      </c>
      <c r="E99" s="364">
        <v>1027522.9128038259</v>
      </c>
      <c r="F99" s="364">
        <v>819718.91572648287</v>
      </c>
      <c r="G99" s="369">
        <v>-74741.092951000668</v>
      </c>
      <c r="H99" s="364">
        <v>-307887.69581105094</v>
      </c>
      <c r="I99" s="350">
        <f t="shared" si="18"/>
        <v>1464613.0397682572</v>
      </c>
      <c r="K99" s="66">
        <f t="shared" si="19"/>
        <v>0</v>
      </c>
      <c r="L99" s="66"/>
      <c r="M99" s="415">
        <v>93</v>
      </c>
      <c r="N99" s="415">
        <v>206</v>
      </c>
      <c r="O99" s="66" t="s">
        <v>525</v>
      </c>
      <c r="P99" t="s">
        <v>992</v>
      </c>
      <c r="Q99" s="364">
        <v>-307887.69581105094</v>
      </c>
      <c r="R99" t="s">
        <v>2580</v>
      </c>
      <c r="S99" s="250"/>
      <c r="T99" s="159">
        <f t="shared" si="27"/>
        <v>0</v>
      </c>
      <c r="U99" s="250"/>
      <c r="V99" s="415">
        <v>93</v>
      </c>
      <c r="W99" t="s">
        <v>525</v>
      </c>
      <c r="X99" t="s">
        <v>992</v>
      </c>
      <c r="Y99" s="364">
        <v>-418336.56787614338</v>
      </c>
      <c r="Z99" s="364">
        <v>1027522.9128038259</v>
      </c>
      <c r="AA99" s="369">
        <v>819718.91572648287</v>
      </c>
      <c r="AB99" s="505">
        <v>-74741.092951000668</v>
      </c>
      <c r="AC99" s="350">
        <f t="shared" si="20"/>
        <v>1354164.1677031647</v>
      </c>
      <c r="AG99" s="159">
        <f t="shared" si="21"/>
        <v>0</v>
      </c>
      <c r="AI99" s="442" t="s">
        <v>525</v>
      </c>
      <c r="AJ99" t="s">
        <v>992</v>
      </c>
      <c r="AK99" s="364">
        <v>0</v>
      </c>
      <c r="AL99" s="364">
        <v>1027522.9128038259</v>
      </c>
      <c r="AM99" s="369">
        <v>819718.91572648287</v>
      </c>
      <c r="AN99" s="505">
        <v>-74741.092951000668</v>
      </c>
      <c r="AO99" s="448">
        <v>1428905.2606541654</v>
      </c>
      <c r="AP99" s="448"/>
      <c r="AQ99" s="438"/>
      <c r="AR99" s="449">
        <f t="shared" si="31"/>
        <v>1772500.7355793081</v>
      </c>
      <c r="AS99" s="438"/>
      <c r="AT99" s="438"/>
      <c r="AU99" s="364">
        <v>1027522.9128038259</v>
      </c>
      <c r="AV99" s="369">
        <v>819718.91572648287</v>
      </c>
      <c r="AW99" s="505">
        <v>-74741.092951000668</v>
      </c>
      <c r="AX99" s="452">
        <f t="shared" si="23"/>
        <v>1772500.7355793081</v>
      </c>
      <c r="AY99" s="250">
        <f t="shared" si="29"/>
        <v>0</v>
      </c>
      <c r="AZ99" s="439"/>
      <c r="BA99" s="582">
        <v>-307887.69581105094</v>
      </c>
      <c r="BB99" s="462">
        <f t="shared" si="24"/>
        <v>1464613.0397682572</v>
      </c>
      <c r="BC99" s="463">
        <f t="shared" si="25"/>
        <v>0</v>
      </c>
      <c r="BD99" s="431"/>
      <c r="BE99" s="435">
        <f t="shared" si="26"/>
        <v>0</v>
      </c>
    </row>
    <row r="100" spans="1:57" ht="15">
      <c r="A100" s="415">
        <v>94</v>
      </c>
      <c r="B100" s="415">
        <v>251</v>
      </c>
      <c r="C100" t="s">
        <v>606</v>
      </c>
      <c r="D100" t="s">
        <v>1022</v>
      </c>
      <c r="E100" s="364">
        <v>0</v>
      </c>
      <c r="F100" s="364">
        <v>-133051.65149599992</v>
      </c>
      <c r="G100" s="369">
        <v>-70866.712399999902</v>
      </c>
      <c r="H100" s="364">
        <v>-157936.81544300006</v>
      </c>
      <c r="I100" s="350">
        <f t="shared" si="18"/>
        <v>-361855.17933899991</v>
      </c>
      <c r="K100" s="66">
        <f t="shared" si="19"/>
        <v>0</v>
      </c>
      <c r="L100" s="66"/>
      <c r="M100" s="415">
        <v>94</v>
      </c>
      <c r="N100" s="415">
        <v>251</v>
      </c>
      <c r="O100" s="66" t="s">
        <v>606</v>
      </c>
      <c r="P100" t="s">
        <v>1022</v>
      </c>
      <c r="Q100" s="364">
        <v>-157936.81544300006</v>
      </c>
      <c r="R100" t="s">
        <v>2580</v>
      </c>
      <c r="S100" s="250"/>
      <c r="T100" s="159">
        <f t="shared" si="27"/>
        <v>0</v>
      </c>
      <c r="U100" s="250"/>
      <c r="V100" s="415">
        <v>94</v>
      </c>
      <c r="W100" t="s">
        <v>606</v>
      </c>
      <c r="X100" t="s">
        <v>1022</v>
      </c>
      <c r="Y100" s="364">
        <v>-3431.4034820000379</v>
      </c>
      <c r="Z100" s="364">
        <v>0</v>
      </c>
      <c r="AA100" s="369">
        <v>-133051.65149599992</v>
      </c>
      <c r="AB100" s="505">
        <v>-70866.712399999902</v>
      </c>
      <c r="AC100" s="350">
        <f t="shared" si="20"/>
        <v>-207349.76737799984</v>
      </c>
      <c r="AG100" s="159">
        <f t="shared" si="21"/>
        <v>0</v>
      </c>
      <c r="AI100" s="442" t="s">
        <v>606</v>
      </c>
      <c r="AJ100" t="s">
        <v>1022</v>
      </c>
      <c r="AK100" s="364">
        <v>0</v>
      </c>
      <c r="AL100" s="364">
        <v>0</v>
      </c>
      <c r="AM100" s="369">
        <v>-133051.65149599992</v>
      </c>
      <c r="AN100" s="505">
        <v>-70866.712399999902</v>
      </c>
      <c r="AO100" s="448">
        <v>-199745.48497799996</v>
      </c>
      <c r="AP100" s="448"/>
      <c r="AQ100" s="438"/>
      <c r="AR100" s="449">
        <f t="shared" si="31"/>
        <v>-203918.36389599982</v>
      </c>
      <c r="AS100" s="438"/>
      <c r="AT100" s="438"/>
      <c r="AU100" s="364">
        <v>0</v>
      </c>
      <c r="AV100" s="369">
        <v>-133051.65149599992</v>
      </c>
      <c r="AW100" s="505">
        <v>-70866.712399999902</v>
      </c>
      <c r="AX100" s="452">
        <f t="shared" si="23"/>
        <v>-203918.36389599982</v>
      </c>
      <c r="AY100" s="250">
        <f t="shared" si="29"/>
        <v>0</v>
      </c>
      <c r="AZ100" s="439"/>
      <c r="BA100" s="582">
        <v>-157936.81544300006</v>
      </c>
      <c r="BB100" s="462">
        <f t="shared" si="24"/>
        <v>-361855.17933899991</v>
      </c>
      <c r="BC100" s="463">
        <f t="shared" si="25"/>
        <v>0</v>
      </c>
      <c r="BD100" s="431"/>
      <c r="BE100" s="435">
        <f t="shared" si="26"/>
        <v>0</v>
      </c>
    </row>
    <row r="101" spans="1:57" ht="15">
      <c r="A101" s="415">
        <v>95</v>
      </c>
      <c r="B101" s="415">
        <v>307</v>
      </c>
      <c r="C101" t="s">
        <v>697</v>
      </c>
      <c r="D101" t="s">
        <v>1063</v>
      </c>
      <c r="E101" s="364">
        <v>-76150.655339999998</v>
      </c>
      <c r="F101" s="364">
        <v>-62182.696500000005</v>
      </c>
      <c r="G101" s="369">
        <v>-82048.726077000043</v>
      </c>
      <c r="H101" s="364">
        <v>-115574.33454000003</v>
      </c>
      <c r="I101" s="350">
        <f t="shared" si="18"/>
        <v>-335956.41245700006</v>
      </c>
      <c r="K101" s="66">
        <f t="shared" si="19"/>
        <v>0</v>
      </c>
      <c r="L101" s="66"/>
      <c r="M101" s="415">
        <v>95</v>
      </c>
      <c r="N101" s="415">
        <v>307</v>
      </c>
      <c r="O101" s="66" t="s">
        <v>697</v>
      </c>
      <c r="P101" t="s">
        <v>1063</v>
      </c>
      <c r="Q101" s="364">
        <v>-115574.33454000003</v>
      </c>
      <c r="R101" t="s">
        <v>2580</v>
      </c>
      <c r="S101" s="250"/>
      <c r="T101" s="159">
        <f t="shared" si="27"/>
        <v>0</v>
      </c>
      <c r="U101" s="250"/>
      <c r="V101" s="415">
        <v>95</v>
      </c>
      <c r="W101" t="s">
        <v>697</v>
      </c>
      <c r="X101" t="s">
        <v>1063</v>
      </c>
      <c r="Y101" s="364">
        <v>-52582.434310000011</v>
      </c>
      <c r="Z101" s="364">
        <v>-76150.655339999998</v>
      </c>
      <c r="AA101" s="369">
        <v>-62182.696500000005</v>
      </c>
      <c r="AB101" s="505">
        <v>-82048.726077000043</v>
      </c>
      <c r="AC101" s="350">
        <f t="shared" si="20"/>
        <v>-272964.51222700003</v>
      </c>
      <c r="AG101" s="159">
        <f t="shared" si="21"/>
        <v>0</v>
      </c>
      <c r="AI101" s="442" t="s">
        <v>697</v>
      </c>
      <c r="AJ101" t="s">
        <v>1063</v>
      </c>
      <c r="AK101" s="364">
        <v>0</v>
      </c>
      <c r="AL101" s="364">
        <v>-76150.655339999998</v>
      </c>
      <c r="AM101" s="369">
        <v>-62182.696500000005</v>
      </c>
      <c r="AN101" s="505">
        <v>-82048.726077000043</v>
      </c>
      <c r="AO101" s="448">
        <v>-271047.89615000004</v>
      </c>
      <c r="AP101" s="448"/>
      <c r="AQ101" s="438"/>
      <c r="AR101" s="449">
        <f t="shared" si="31"/>
        <v>-220382.07791700005</v>
      </c>
      <c r="AS101" s="438"/>
      <c r="AT101" s="438"/>
      <c r="AU101" s="364">
        <v>-76150.655339999998</v>
      </c>
      <c r="AV101" s="369">
        <v>-62182.696500000005</v>
      </c>
      <c r="AW101" s="505">
        <v>-82048.726077000043</v>
      </c>
      <c r="AX101" s="452">
        <f t="shared" si="23"/>
        <v>-220382.07791700005</v>
      </c>
      <c r="AY101" s="250">
        <f t="shared" si="29"/>
        <v>0</v>
      </c>
      <c r="AZ101" s="439"/>
      <c r="BA101" s="582">
        <v>-115574.33454000003</v>
      </c>
      <c r="BB101" s="462">
        <f t="shared" si="24"/>
        <v>-335956.41245700006</v>
      </c>
      <c r="BC101" s="463">
        <f t="shared" si="25"/>
        <v>0</v>
      </c>
      <c r="BD101" s="431"/>
      <c r="BE101" s="435">
        <f t="shared" si="26"/>
        <v>0</v>
      </c>
    </row>
    <row r="102" spans="1:57" ht="15">
      <c r="A102" s="415">
        <v>96</v>
      </c>
      <c r="B102" s="415">
        <v>144</v>
      </c>
      <c r="C102" t="s">
        <v>404</v>
      </c>
      <c r="D102" t="s">
        <v>935</v>
      </c>
      <c r="E102" s="364">
        <v>-84814.643095000007</v>
      </c>
      <c r="F102" s="364">
        <v>-79140.795290000024</v>
      </c>
      <c r="G102" s="369">
        <v>-117866.99245000001</v>
      </c>
      <c r="H102" s="364">
        <v>-78807.136760000009</v>
      </c>
      <c r="I102" s="350">
        <f t="shared" si="18"/>
        <v>-360629.56759500009</v>
      </c>
      <c r="K102" s="66">
        <f t="shared" si="19"/>
        <v>0</v>
      </c>
      <c r="L102" s="66"/>
      <c r="M102" s="415">
        <v>96</v>
      </c>
      <c r="N102" s="415">
        <v>144</v>
      </c>
      <c r="O102" s="66" t="s">
        <v>404</v>
      </c>
      <c r="P102" t="s">
        <v>935</v>
      </c>
      <c r="Q102" s="364">
        <v>-78807.136760000009</v>
      </c>
      <c r="R102" t="s">
        <v>2580</v>
      </c>
      <c r="S102" s="250"/>
      <c r="T102" s="159">
        <f t="shared" si="27"/>
        <v>0</v>
      </c>
      <c r="U102" s="250"/>
      <c r="V102" s="415">
        <v>96</v>
      </c>
      <c r="W102" t="s">
        <v>404</v>
      </c>
      <c r="X102" t="s">
        <v>935</v>
      </c>
      <c r="Y102" s="364">
        <v>-67194.995090110184</v>
      </c>
      <c r="Z102" s="364">
        <v>-84814.643095000007</v>
      </c>
      <c r="AA102" s="369">
        <v>-79140.795290000024</v>
      </c>
      <c r="AB102" s="505">
        <v>-117866.99245000001</v>
      </c>
      <c r="AC102" s="350">
        <f t="shared" si="20"/>
        <v>-349017.42592511023</v>
      </c>
      <c r="AG102" s="159">
        <f t="shared" si="21"/>
        <v>0</v>
      </c>
      <c r="AI102" s="442" t="s">
        <v>404</v>
      </c>
      <c r="AJ102" t="s">
        <v>935</v>
      </c>
      <c r="AK102" s="364">
        <v>0</v>
      </c>
      <c r="AL102" s="364">
        <v>-84814.643095000007</v>
      </c>
      <c r="AM102" s="369">
        <v>-79140.795290000024</v>
      </c>
      <c r="AN102" s="505">
        <v>-117866.99245000001</v>
      </c>
      <c r="AO102" s="448">
        <v>-318929.24347511021</v>
      </c>
      <c r="AP102" s="448"/>
      <c r="AQ102" s="438"/>
      <c r="AR102" s="449">
        <f t="shared" si="31"/>
        <v>-281822.43083500006</v>
      </c>
      <c r="AS102" s="438"/>
      <c r="AT102" s="438"/>
      <c r="AU102" s="364">
        <v>-84814.643095000007</v>
      </c>
      <c r="AV102" s="369">
        <v>-79140.795290000024</v>
      </c>
      <c r="AW102" s="505">
        <v>-117866.99245000001</v>
      </c>
      <c r="AX102" s="452">
        <f t="shared" si="23"/>
        <v>-281822.43083500006</v>
      </c>
      <c r="AY102" s="250">
        <f t="shared" si="29"/>
        <v>0</v>
      </c>
      <c r="AZ102" s="439"/>
      <c r="BA102" s="582">
        <v>-78807.136760000009</v>
      </c>
      <c r="BB102" s="462">
        <f t="shared" si="24"/>
        <v>-360629.56759500009</v>
      </c>
      <c r="BC102" s="463">
        <f t="shared" si="25"/>
        <v>0</v>
      </c>
      <c r="BD102" s="431"/>
      <c r="BE102" s="435">
        <f t="shared" si="26"/>
        <v>0</v>
      </c>
    </row>
    <row r="103" spans="1:57" ht="15">
      <c r="A103" s="415">
        <v>97</v>
      </c>
      <c r="B103" s="415">
        <v>147</v>
      </c>
      <c r="C103" t="s">
        <v>410</v>
      </c>
      <c r="D103" t="s">
        <v>936</v>
      </c>
      <c r="E103" s="364">
        <v>0</v>
      </c>
      <c r="F103" s="364">
        <v>-36877.618778999982</v>
      </c>
      <c r="G103" s="369">
        <v>-24397.000766000128</v>
      </c>
      <c r="H103" s="364">
        <v>3206.6051599999191</v>
      </c>
      <c r="I103" s="350">
        <f t="shared" si="18"/>
        <v>-58068.014385000191</v>
      </c>
      <c r="K103" s="66">
        <f t="shared" si="19"/>
        <v>0</v>
      </c>
      <c r="L103" s="66"/>
      <c r="M103" s="415">
        <v>97</v>
      </c>
      <c r="N103" s="415">
        <v>147</v>
      </c>
      <c r="O103" s="66" t="s">
        <v>410</v>
      </c>
      <c r="P103" t="s">
        <v>936</v>
      </c>
      <c r="Q103" s="364">
        <v>3206.6051599999191</v>
      </c>
      <c r="R103" t="s">
        <v>2580</v>
      </c>
      <c r="S103" s="250"/>
      <c r="T103" s="159">
        <f t="shared" si="27"/>
        <v>0</v>
      </c>
      <c r="U103" s="250"/>
      <c r="V103" s="415">
        <v>97</v>
      </c>
      <c r="W103" t="s">
        <v>410</v>
      </c>
      <c r="X103" t="s">
        <v>936</v>
      </c>
      <c r="Y103" s="364">
        <v>-83158.161240551271</v>
      </c>
      <c r="Z103" s="364">
        <v>0</v>
      </c>
      <c r="AA103" s="369">
        <v>-36877.618778999982</v>
      </c>
      <c r="AB103" s="505">
        <v>-24397.000766000128</v>
      </c>
      <c r="AC103" s="350">
        <f t="shared" ref="AC103:AC117" si="32">SUM(Y103:AB103)</f>
        <v>-144432.78078555138</v>
      </c>
      <c r="AG103" s="159">
        <f t="shared" ref="AG103:AG117" si="33">+AI103-W103</f>
        <v>0</v>
      </c>
      <c r="AI103" s="442" t="s">
        <v>410</v>
      </c>
      <c r="AJ103" t="s">
        <v>936</v>
      </c>
      <c r="AK103" s="364">
        <v>0</v>
      </c>
      <c r="AL103" s="364">
        <v>0</v>
      </c>
      <c r="AM103" s="369">
        <v>-36877.618778999982</v>
      </c>
      <c r="AN103" s="505">
        <v>-24397.000766000128</v>
      </c>
      <c r="AO103" s="448">
        <v>-192727.23001955127</v>
      </c>
      <c r="AP103" s="448"/>
      <c r="AQ103" s="438"/>
      <c r="AR103" s="449">
        <f t="shared" si="31"/>
        <v>-61274.619545000111</v>
      </c>
      <c r="AS103" s="438"/>
      <c r="AT103" s="438"/>
      <c r="AU103" s="364">
        <v>0</v>
      </c>
      <c r="AV103" s="369">
        <v>-36877.618778999982</v>
      </c>
      <c r="AW103" s="505">
        <v>-24397.000766000128</v>
      </c>
      <c r="AX103" s="452">
        <f t="shared" si="23"/>
        <v>-61274.619545000111</v>
      </c>
      <c r="AY103" s="250">
        <f t="shared" si="29"/>
        <v>0</v>
      </c>
      <c r="AZ103" s="439"/>
      <c r="BA103" s="582">
        <v>3206.6051599999191</v>
      </c>
      <c r="BB103" s="462">
        <f t="shared" si="24"/>
        <v>-58068.014385000191</v>
      </c>
      <c r="BC103" s="463">
        <f t="shared" ref="BC103:BC115" si="34">+BB103-I103</f>
        <v>0</v>
      </c>
      <c r="BD103" s="431"/>
      <c r="BE103" s="435">
        <f t="shared" ref="BE103:BE113" si="35">+O103-C103</f>
        <v>0</v>
      </c>
    </row>
    <row r="104" spans="1:57" ht="15">
      <c r="A104" s="415">
        <v>98</v>
      </c>
      <c r="B104" s="415">
        <v>75</v>
      </c>
      <c r="C104" t="s">
        <v>295</v>
      </c>
      <c r="D104" t="s">
        <v>886</v>
      </c>
      <c r="E104" s="364">
        <v>-48882.340721999877</v>
      </c>
      <c r="F104" s="364">
        <v>18686.364787999984</v>
      </c>
      <c r="G104" s="369">
        <v>-31074.563499999873</v>
      </c>
      <c r="H104" s="364">
        <v>-75038.61210800003</v>
      </c>
      <c r="I104" s="350">
        <f t="shared" si="18"/>
        <v>-136309.1515419998</v>
      </c>
      <c r="K104" s="66">
        <f t="shared" si="19"/>
        <v>0</v>
      </c>
      <c r="L104" s="66"/>
      <c r="M104" s="415">
        <v>98</v>
      </c>
      <c r="N104" s="415">
        <v>75</v>
      </c>
      <c r="O104" s="66" t="s">
        <v>295</v>
      </c>
      <c r="P104" t="s">
        <v>886</v>
      </c>
      <c r="Q104" s="364">
        <v>-75038.61210800003</v>
      </c>
      <c r="R104" t="s">
        <v>2580</v>
      </c>
      <c r="S104" s="250"/>
      <c r="T104" s="159">
        <f t="shared" si="27"/>
        <v>0</v>
      </c>
      <c r="U104" s="250"/>
      <c r="V104" s="415">
        <v>98</v>
      </c>
      <c r="W104" t="s">
        <v>295</v>
      </c>
      <c r="X104" t="s">
        <v>886</v>
      </c>
      <c r="Y104" s="364">
        <v>-92183.806819999969</v>
      </c>
      <c r="Z104" s="364">
        <v>-48882.340721999877</v>
      </c>
      <c r="AA104" s="369">
        <v>18686.364787999984</v>
      </c>
      <c r="AB104" s="505">
        <v>-31074.563499999873</v>
      </c>
      <c r="AC104" s="350">
        <f t="shared" si="32"/>
        <v>-153454.34625399974</v>
      </c>
      <c r="AG104" s="159">
        <f t="shared" si="33"/>
        <v>0</v>
      </c>
      <c r="AI104" s="442" t="s">
        <v>295</v>
      </c>
      <c r="AJ104" t="s">
        <v>886</v>
      </c>
      <c r="AK104" s="364">
        <v>0</v>
      </c>
      <c r="AL104" s="364">
        <v>-48882.340721999877</v>
      </c>
      <c r="AM104" s="369">
        <v>18686.364787999984</v>
      </c>
      <c r="AN104" s="505">
        <v>-31074.563499999873</v>
      </c>
      <c r="AO104" s="448">
        <v>-222578.44275399987</v>
      </c>
      <c r="AP104" s="448"/>
      <c r="AQ104" s="438"/>
      <c r="AR104" s="449">
        <f t="shared" si="31"/>
        <v>-61270.539433999766</v>
      </c>
      <c r="AS104" s="438"/>
      <c r="AT104" s="438"/>
      <c r="AU104" s="364">
        <v>-48882.340721999877</v>
      </c>
      <c r="AV104" s="369">
        <v>18686.364787999984</v>
      </c>
      <c r="AW104" s="505">
        <v>-31074.563499999873</v>
      </c>
      <c r="AX104" s="452">
        <f t="shared" si="23"/>
        <v>-61270.539433999766</v>
      </c>
      <c r="AY104" s="250">
        <f t="shared" si="29"/>
        <v>0</v>
      </c>
      <c r="AZ104" s="439"/>
      <c r="BA104" s="582">
        <v>-75038.61210800003</v>
      </c>
      <c r="BB104" s="462">
        <f t="shared" si="24"/>
        <v>-136309.1515419998</v>
      </c>
      <c r="BC104" s="463">
        <f t="shared" si="34"/>
        <v>0</v>
      </c>
      <c r="BD104" s="431"/>
      <c r="BE104" s="435">
        <f t="shared" si="35"/>
        <v>0</v>
      </c>
    </row>
    <row r="105" spans="1:57" ht="15">
      <c r="A105" s="415">
        <v>99</v>
      </c>
      <c r="B105" s="415">
        <v>320</v>
      </c>
      <c r="C105" t="s">
        <v>722</v>
      </c>
      <c r="D105" t="s">
        <v>1073</v>
      </c>
      <c r="E105" s="364">
        <v>62561.769585445116</v>
      </c>
      <c r="F105" s="364">
        <v>-345676.32436884043</v>
      </c>
      <c r="G105" s="369">
        <v>-338488.22989699943</v>
      </c>
      <c r="H105" s="364">
        <v>-253243.96185261197</v>
      </c>
      <c r="I105" s="350">
        <f t="shared" si="18"/>
        <v>-874846.74653300666</v>
      </c>
      <c r="K105" s="66">
        <f t="shared" si="19"/>
        <v>0</v>
      </c>
      <c r="L105" s="66"/>
      <c r="M105" s="415">
        <v>99</v>
      </c>
      <c r="N105" s="415">
        <v>320</v>
      </c>
      <c r="O105" s="66" t="s">
        <v>722</v>
      </c>
      <c r="P105" t="s">
        <v>1073</v>
      </c>
      <c r="Q105" s="364">
        <v>-253243.96185261197</v>
      </c>
      <c r="R105" t="s">
        <v>2580</v>
      </c>
      <c r="S105" s="250"/>
      <c r="T105" s="159">
        <f t="shared" si="27"/>
        <v>0</v>
      </c>
      <c r="U105" s="250"/>
      <c r="V105" s="415">
        <v>99</v>
      </c>
      <c r="W105" t="s">
        <v>722</v>
      </c>
      <c r="X105" t="s">
        <v>1073</v>
      </c>
      <c r="Y105" s="364">
        <v>-6895.1924279829836</v>
      </c>
      <c r="Z105" s="364">
        <v>62561.769585445116</v>
      </c>
      <c r="AA105" s="369">
        <v>-345676.32436884043</v>
      </c>
      <c r="AB105" s="505">
        <v>-338488.22989699943</v>
      </c>
      <c r="AC105" s="350">
        <f t="shared" si="32"/>
        <v>-628497.97710837773</v>
      </c>
      <c r="AG105" s="159">
        <f t="shared" si="33"/>
        <v>0</v>
      </c>
      <c r="AI105" s="442" t="s">
        <v>722</v>
      </c>
      <c r="AJ105" t="s">
        <v>1073</v>
      </c>
      <c r="AK105" s="364">
        <v>0</v>
      </c>
      <c r="AL105" s="364">
        <v>62561.769585445116</v>
      </c>
      <c r="AM105" s="369">
        <v>-345676.32436884043</v>
      </c>
      <c r="AN105" s="505">
        <v>-338488.22989699943</v>
      </c>
      <c r="AO105" s="448">
        <v>-292845.96721137827</v>
      </c>
      <c r="AP105" s="448"/>
      <c r="AQ105" s="438"/>
      <c r="AR105" s="449">
        <f t="shared" si="31"/>
        <v>-621602.78468039469</v>
      </c>
      <c r="AS105" s="438"/>
      <c r="AT105" s="438"/>
      <c r="AU105" s="364">
        <v>62561.769585445116</v>
      </c>
      <c r="AV105" s="369">
        <v>-345676.32436884043</v>
      </c>
      <c r="AW105" s="505">
        <v>-338488.22989699943</v>
      </c>
      <c r="AX105" s="452">
        <f t="shared" si="23"/>
        <v>-621602.78468039469</v>
      </c>
      <c r="AY105" s="250">
        <f t="shared" si="29"/>
        <v>0</v>
      </c>
      <c r="AZ105" s="439"/>
      <c r="BA105" s="582">
        <v>-253243.96185261197</v>
      </c>
      <c r="BB105" s="462">
        <f t="shared" si="24"/>
        <v>-874846.74653300666</v>
      </c>
      <c r="BC105" s="463">
        <f t="shared" si="34"/>
        <v>0</v>
      </c>
      <c r="BD105" s="431"/>
      <c r="BE105" s="435">
        <f t="shared" si="35"/>
        <v>0</v>
      </c>
    </row>
    <row r="106" spans="1:57" ht="15">
      <c r="A106" s="415">
        <v>100</v>
      </c>
      <c r="B106" s="415">
        <v>324</v>
      </c>
      <c r="C106" t="s">
        <v>730</v>
      </c>
      <c r="D106" t="s">
        <v>1077</v>
      </c>
      <c r="E106" s="364">
        <v>-226910.78775999998</v>
      </c>
      <c r="F106" s="364">
        <v>-207358.51916300028</v>
      </c>
      <c r="G106" s="369">
        <v>-214427.96332399989</v>
      </c>
      <c r="H106" s="364">
        <v>-50859.867716433946</v>
      </c>
      <c r="I106" s="350">
        <f t="shared" si="18"/>
        <v>-699557.1379634341</v>
      </c>
      <c r="K106" s="66">
        <f t="shared" si="19"/>
        <v>0</v>
      </c>
      <c r="L106" s="66"/>
      <c r="M106" s="415">
        <v>100</v>
      </c>
      <c r="N106" s="415">
        <v>324</v>
      </c>
      <c r="O106" s="66" t="s">
        <v>730</v>
      </c>
      <c r="P106" t="s">
        <v>1077</v>
      </c>
      <c r="Q106" s="364">
        <v>-50859.867716433946</v>
      </c>
      <c r="R106" t="s">
        <v>2580</v>
      </c>
      <c r="S106" s="250"/>
      <c r="T106" s="159">
        <f t="shared" si="27"/>
        <v>0</v>
      </c>
      <c r="U106" s="250"/>
      <c r="V106" s="415">
        <v>100</v>
      </c>
      <c r="W106" t="s">
        <v>730</v>
      </c>
      <c r="X106" t="s">
        <v>1077</v>
      </c>
      <c r="Y106" s="364">
        <v>-149253.65196200012</v>
      </c>
      <c r="Z106" s="364">
        <v>-226910.78775999998</v>
      </c>
      <c r="AA106" s="369">
        <v>-207358.51916300028</v>
      </c>
      <c r="AB106" s="505">
        <v>-214427.96332399989</v>
      </c>
      <c r="AC106" s="350">
        <f t="shared" si="32"/>
        <v>-797950.92220900021</v>
      </c>
      <c r="AG106" s="159">
        <f t="shared" si="33"/>
        <v>0</v>
      </c>
      <c r="AI106" s="442" t="s">
        <v>730</v>
      </c>
      <c r="AJ106" t="s">
        <v>1077</v>
      </c>
      <c r="AK106" s="364">
        <v>0</v>
      </c>
      <c r="AL106" s="364">
        <v>-226910.78775999998</v>
      </c>
      <c r="AM106" s="369">
        <v>-207358.51916300028</v>
      </c>
      <c r="AN106" s="505">
        <v>-214427.96332399989</v>
      </c>
      <c r="AO106" s="448">
        <v>-583522.95888500032</v>
      </c>
      <c r="AP106" s="448"/>
      <c r="AQ106" s="438"/>
      <c r="AR106" s="449">
        <f t="shared" si="31"/>
        <v>-648697.27024700015</v>
      </c>
      <c r="AS106" s="438"/>
      <c r="AT106" s="438"/>
      <c r="AU106" s="364">
        <v>-226910.78775999998</v>
      </c>
      <c r="AV106" s="369">
        <v>-207358.51916300028</v>
      </c>
      <c r="AW106" s="505">
        <v>-214427.96332399989</v>
      </c>
      <c r="AX106" s="452">
        <f t="shared" si="23"/>
        <v>-648697.27024700015</v>
      </c>
      <c r="AY106" s="250">
        <f t="shared" si="29"/>
        <v>0</v>
      </c>
      <c r="AZ106" s="439"/>
      <c r="BA106" s="582">
        <v>-50859.867716433946</v>
      </c>
      <c r="BB106" s="462">
        <f t="shared" si="24"/>
        <v>-699557.1379634341</v>
      </c>
      <c r="BC106" s="463">
        <f t="shared" si="34"/>
        <v>0</v>
      </c>
      <c r="BD106" s="431"/>
      <c r="BE106" s="435">
        <f t="shared" si="35"/>
        <v>0</v>
      </c>
    </row>
    <row r="107" spans="1:57" ht="15">
      <c r="A107" s="415">
        <v>101</v>
      </c>
      <c r="B107" s="415">
        <v>242</v>
      </c>
      <c r="C107" t="s">
        <v>588</v>
      </c>
      <c r="D107" t="s">
        <v>1016</v>
      </c>
      <c r="E107" s="364">
        <v>-50326.984860000201</v>
      </c>
      <c r="F107" s="364">
        <v>-233945.98863999994</v>
      </c>
      <c r="G107" s="369">
        <v>-189798.24110000022</v>
      </c>
      <c r="H107" s="364">
        <v>-241742.28361100005</v>
      </c>
      <c r="I107" s="350">
        <f t="shared" si="18"/>
        <v>-715813.49821100035</v>
      </c>
      <c r="K107" s="66">
        <f t="shared" si="19"/>
        <v>0</v>
      </c>
      <c r="L107" s="66"/>
      <c r="M107" s="415">
        <v>101</v>
      </c>
      <c r="N107" s="415">
        <v>242</v>
      </c>
      <c r="O107" s="66" t="s">
        <v>588</v>
      </c>
      <c r="P107" t="s">
        <v>1016</v>
      </c>
      <c r="Q107" s="364">
        <v>-241742.28361100005</v>
      </c>
      <c r="R107" t="s">
        <v>2580</v>
      </c>
      <c r="S107" s="250"/>
      <c r="T107" s="159">
        <f t="shared" si="27"/>
        <v>0</v>
      </c>
      <c r="U107" s="250"/>
      <c r="V107" s="415">
        <v>101</v>
      </c>
      <c r="W107" t="s">
        <v>588</v>
      </c>
      <c r="X107" t="s">
        <v>1016</v>
      </c>
      <c r="Y107" s="364">
        <v>-221485.9717731807</v>
      </c>
      <c r="Z107" s="364">
        <v>-50326.984860000201</v>
      </c>
      <c r="AA107" s="369">
        <v>-233945.98863999994</v>
      </c>
      <c r="AB107" s="505">
        <v>-189798.24110000022</v>
      </c>
      <c r="AC107" s="350">
        <f t="shared" si="32"/>
        <v>-695557.18637318106</v>
      </c>
      <c r="AG107" s="159">
        <f t="shared" si="33"/>
        <v>0</v>
      </c>
      <c r="AI107" s="442" t="s">
        <v>588</v>
      </c>
      <c r="AJ107" t="s">
        <v>1016</v>
      </c>
      <c r="AK107" s="364">
        <v>0</v>
      </c>
      <c r="AL107" s="364">
        <v>-50326.984860000201</v>
      </c>
      <c r="AM107" s="369">
        <v>-233945.98863999994</v>
      </c>
      <c r="AN107" s="505">
        <v>-189798.24110000022</v>
      </c>
      <c r="AO107" s="448">
        <v>-519275.11527318083</v>
      </c>
      <c r="AP107" s="448"/>
      <c r="AQ107" s="438"/>
      <c r="AR107" s="449">
        <f t="shared" si="31"/>
        <v>-474071.21460000036</v>
      </c>
      <c r="AS107" s="438"/>
      <c r="AT107" s="438"/>
      <c r="AU107" s="364">
        <v>-50326.984860000201</v>
      </c>
      <c r="AV107" s="369">
        <v>-233945.98863999994</v>
      </c>
      <c r="AW107" s="505">
        <v>-189798.24110000022</v>
      </c>
      <c r="AX107" s="452">
        <f t="shared" si="23"/>
        <v>-474071.21460000036</v>
      </c>
      <c r="AY107" s="250">
        <f t="shared" si="29"/>
        <v>0</v>
      </c>
      <c r="AZ107" s="439"/>
      <c r="BA107" s="582">
        <v>-241742.28361100005</v>
      </c>
      <c r="BB107" s="462">
        <f t="shared" si="24"/>
        <v>-715813.49821100035</v>
      </c>
      <c r="BC107" s="463">
        <f t="shared" si="34"/>
        <v>0</v>
      </c>
      <c r="BD107" s="431"/>
      <c r="BE107" s="435">
        <f t="shared" si="35"/>
        <v>0</v>
      </c>
    </row>
    <row r="108" spans="1:57" ht="15">
      <c r="A108" s="415">
        <v>102</v>
      </c>
      <c r="B108" s="415">
        <v>172</v>
      </c>
      <c r="C108" t="s">
        <v>460</v>
      </c>
      <c r="D108" t="s">
        <v>959</v>
      </c>
      <c r="E108" s="364">
        <v>0</v>
      </c>
      <c r="F108" s="364">
        <v>-24181.221455999996</v>
      </c>
      <c r="G108" s="369">
        <v>-47772.548264000012</v>
      </c>
      <c r="H108" s="364">
        <v>-97688.382216000027</v>
      </c>
      <c r="I108" s="350">
        <f t="shared" si="18"/>
        <v>-169642.15193600004</v>
      </c>
      <c r="K108" s="66">
        <f t="shared" si="19"/>
        <v>0</v>
      </c>
      <c r="L108" s="66"/>
      <c r="M108" s="415">
        <v>102</v>
      </c>
      <c r="N108" s="415">
        <v>172</v>
      </c>
      <c r="O108" s="66" t="s">
        <v>460</v>
      </c>
      <c r="P108" t="s">
        <v>959</v>
      </c>
      <c r="Q108" s="364">
        <v>-97688.382216000027</v>
      </c>
      <c r="R108" t="s">
        <v>2580</v>
      </c>
      <c r="S108" s="250"/>
      <c r="T108" s="159">
        <f t="shared" si="27"/>
        <v>0</v>
      </c>
      <c r="U108" s="250"/>
      <c r="V108" s="415">
        <v>102</v>
      </c>
      <c r="W108" t="s">
        <v>460</v>
      </c>
      <c r="X108" t="s">
        <v>959</v>
      </c>
      <c r="Y108" s="364">
        <v>-11631.177407999989</v>
      </c>
      <c r="Z108" s="364">
        <v>0</v>
      </c>
      <c r="AA108" s="369">
        <v>-24181.221455999996</v>
      </c>
      <c r="AB108" s="505">
        <v>-47772.548264000012</v>
      </c>
      <c r="AC108" s="350">
        <f t="shared" si="32"/>
        <v>-83584.947128</v>
      </c>
      <c r="AG108" s="159">
        <f t="shared" si="33"/>
        <v>0</v>
      </c>
      <c r="AI108" s="442" t="s">
        <v>460</v>
      </c>
      <c r="AJ108" t="s">
        <v>959</v>
      </c>
      <c r="AK108" s="364">
        <v>0</v>
      </c>
      <c r="AL108" s="364">
        <v>0</v>
      </c>
      <c r="AM108" s="369">
        <v>-24181.221455999996</v>
      </c>
      <c r="AN108" s="505">
        <v>-47772.548264000012</v>
      </c>
      <c r="AO108" s="448">
        <v>-84294.048863999982</v>
      </c>
      <c r="AP108" s="448"/>
      <c r="AQ108" s="438"/>
      <c r="AR108" s="449">
        <f t="shared" si="31"/>
        <v>-71953.769720000011</v>
      </c>
      <c r="AS108" s="438"/>
      <c r="AT108" s="438"/>
      <c r="AU108" s="364">
        <v>0</v>
      </c>
      <c r="AV108" s="369">
        <v>-24181.221455999996</v>
      </c>
      <c r="AW108" s="505">
        <v>-47772.548264000012</v>
      </c>
      <c r="AX108" s="452">
        <f t="shared" si="23"/>
        <v>-71953.769720000011</v>
      </c>
      <c r="AY108" s="250">
        <f t="shared" si="29"/>
        <v>0</v>
      </c>
      <c r="AZ108" s="439"/>
      <c r="BA108" s="582">
        <v>-97688.382216000027</v>
      </c>
      <c r="BB108" s="462">
        <f t="shared" si="24"/>
        <v>-169642.15193600004</v>
      </c>
      <c r="BC108" s="463">
        <f t="shared" si="34"/>
        <v>0</v>
      </c>
      <c r="BD108" s="431"/>
      <c r="BE108" s="435">
        <f t="shared" si="35"/>
        <v>0</v>
      </c>
    </row>
    <row r="109" spans="1:57" ht="15">
      <c r="A109" s="415">
        <v>103</v>
      </c>
      <c r="B109" s="415">
        <v>246</v>
      </c>
      <c r="C109" s="230" t="s">
        <v>596</v>
      </c>
      <c r="D109" t="s">
        <v>597</v>
      </c>
      <c r="E109" s="364">
        <v>-4789.4953000000023</v>
      </c>
      <c r="F109" s="364">
        <v>12359.822932000001</v>
      </c>
      <c r="G109" s="369">
        <v>-555.95962499999951</v>
      </c>
      <c r="H109" s="364">
        <v>-25222.768691000001</v>
      </c>
      <c r="I109" s="350">
        <f t="shared" si="18"/>
        <v>-18208.400684</v>
      </c>
      <c r="K109" s="66">
        <f t="shared" si="19"/>
        <v>0</v>
      </c>
      <c r="L109" s="66"/>
      <c r="M109" s="415">
        <v>103</v>
      </c>
      <c r="N109" s="415">
        <v>246</v>
      </c>
      <c r="O109" s="66" t="s">
        <v>596</v>
      </c>
      <c r="P109" t="s">
        <v>597</v>
      </c>
      <c r="Q109" s="364">
        <v>-25222.768691000001</v>
      </c>
      <c r="R109" t="s">
        <v>2580</v>
      </c>
      <c r="S109" s="250"/>
      <c r="T109" s="159">
        <f t="shared" si="27"/>
        <v>0</v>
      </c>
      <c r="U109" s="250"/>
      <c r="V109" s="415">
        <v>103</v>
      </c>
      <c r="W109" s="230" t="s">
        <v>596</v>
      </c>
      <c r="X109" t="s">
        <v>597</v>
      </c>
      <c r="Y109" s="364">
        <v>0</v>
      </c>
      <c r="Z109" s="364">
        <v>-4789.4953000000023</v>
      </c>
      <c r="AA109" s="369">
        <v>12359.822932000001</v>
      </c>
      <c r="AB109" s="505">
        <v>-555.95962499999951</v>
      </c>
      <c r="AC109" s="350">
        <f t="shared" si="32"/>
        <v>7014.3680069999991</v>
      </c>
      <c r="AG109" s="159">
        <f t="shared" si="33"/>
        <v>0</v>
      </c>
      <c r="AI109" s="442" t="s">
        <v>596</v>
      </c>
      <c r="AJ109" t="s">
        <v>597</v>
      </c>
      <c r="AK109" s="364">
        <v>0</v>
      </c>
      <c r="AL109" s="364">
        <v>-4789.4953000000023</v>
      </c>
      <c r="AM109" s="369">
        <v>12359.822932000001</v>
      </c>
      <c r="AN109" s="505">
        <v>-555.95962499999951</v>
      </c>
      <c r="AO109" s="448">
        <v>7570.3276319999986</v>
      </c>
      <c r="AP109" s="448"/>
      <c r="AQ109" s="438"/>
      <c r="AR109" s="449">
        <f t="shared" si="31"/>
        <v>7014.3680069999991</v>
      </c>
      <c r="AS109" s="438"/>
      <c r="AT109" s="438"/>
      <c r="AU109" s="364">
        <v>-4789.4953000000023</v>
      </c>
      <c r="AV109" s="369">
        <v>12359.822932000001</v>
      </c>
      <c r="AW109" s="505">
        <v>-555.95962499999951</v>
      </c>
      <c r="AX109" s="452">
        <f t="shared" si="23"/>
        <v>7014.3680069999991</v>
      </c>
      <c r="AY109" s="250">
        <f t="shared" si="29"/>
        <v>0</v>
      </c>
      <c r="AZ109" s="439"/>
      <c r="BA109" s="582">
        <v>-25222.768691000001</v>
      </c>
      <c r="BB109" s="462">
        <f t="shared" si="24"/>
        <v>-18208.400684</v>
      </c>
      <c r="BC109" s="463">
        <f t="shared" si="34"/>
        <v>0</v>
      </c>
      <c r="BD109" s="431"/>
      <c r="BE109" s="435">
        <f t="shared" si="35"/>
        <v>0</v>
      </c>
    </row>
    <row r="110" spans="1:57" ht="15">
      <c r="A110" s="415">
        <v>104</v>
      </c>
      <c r="B110" s="415">
        <v>32</v>
      </c>
      <c r="C110" t="s">
        <v>218</v>
      </c>
      <c r="D110" t="s">
        <v>851</v>
      </c>
      <c r="E110" s="364">
        <v>-96655.657517999978</v>
      </c>
      <c r="F110" s="364">
        <v>-94767.366448000001</v>
      </c>
      <c r="G110" s="369">
        <v>-77471.357422000001</v>
      </c>
      <c r="H110" s="364">
        <v>-117976.90533600001</v>
      </c>
      <c r="I110" s="350">
        <f t="shared" si="18"/>
        <v>-386871.28672400001</v>
      </c>
      <c r="K110" s="66">
        <f t="shared" si="19"/>
        <v>0</v>
      </c>
      <c r="L110" s="66"/>
      <c r="M110" s="415">
        <v>104</v>
      </c>
      <c r="N110" s="415">
        <v>32</v>
      </c>
      <c r="O110" s="66" t="s">
        <v>218</v>
      </c>
      <c r="P110" t="s">
        <v>851</v>
      </c>
      <c r="Q110" s="364">
        <v>-117976.90533600001</v>
      </c>
      <c r="R110" t="s">
        <v>2580</v>
      </c>
      <c r="S110" s="250"/>
      <c r="T110" s="159">
        <f t="shared" si="27"/>
        <v>0</v>
      </c>
      <c r="U110" s="250"/>
      <c r="V110" s="415">
        <v>104</v>
      </c>
      <c r="W110" t="s">
        <v>218</v>
      </c>
      <c r="X110" t="s">
        <v>851</v>
      </c>
      <c r="Y110" s="364">
        <v>-36377.710695000002</v>
      </c>
      <c r="Z110" s="364">
        <v>-96655.657517999978</v>
      </c>
      <c r="AA110" s="369">
        <v>-94767.366448000001</v>
      </c>
      <c r="AB110" s="505">
        <v>-77471.357422000001</v>
      </c>
      <c r="AC110" s="350">
        <f t="shared" si="32"/>
        <v>-305272.092083</v>
      </c>
      <c r="AG110" s="159">
        <f t="shared" si="33"/>
        <v>0</v>
      </c>
      <c r="AI110" s="442" t="s">
        <v>218</v>
      </c>
      <c r="AJ110" t="s">
        <v>851</v>
      </c>
      <c r="AK110" s="364">
        <v>0</v>
      </c>
      <c r="AL110" s="364">
        <v>-96655.657517999978</v>
      </c>
      <c r="AM110" s="369">
        <v>-94767.366448000001</v>
      </c>
      <c r="AN110" s="505">
        <v>-77471.357422000001</v>
      </c>
      <c r="AO110" s="448">
        <v>-312689.954661</v>
      </c>
      <c r="AP110" s="448"/>
      <c r="AQ110" s="438"/>
      <c r="AR110" s="449">
        <f t="shared" si="31"/>
        <v>-268894.38138799998</v>
      </c>
      <c r="AS110" s="438"/>
      <c r="AT110" s="438"/>
      <c r="AU110" s="364">
        <v>-96655.657517999978</v>
      </c>
      <c r="AV110" s="369">
        <v>-94767.366448000001</v>
      </c>
      <c r="AW110" s="505">
        <v>-77471.357422000001</v>
      </c>
      <c r="AX110" s="452">
        <f t="shared" si="23"/>
        <v>-268894.38138799998</v>
      </c>
      <c r="AY110" s="250">
        <f t="shared" si="29"/>
        <v>0</v>
      </c>
      <c r="AZ110" s="439"/>
      <c r="BA110" s="582">
        <v>-117976.90533600001</v>
      </c>
      <c r="BB110" s="462">
        <f t="shared" si="24"/>
        <v>-386871.28672400001</v>
      </c>
      <c r="BC110" s="463">
        <f t="shared" si="34"/>
        <v>0</v>
      </c>
      <c r="BD110" s="431"/>
      <c r="BE110" s="435">
        <f t="shared" si="35"/>
        <v>0</v>
      </c>
    </row>
    <row r="111" spans="1:57" ht="15">
      <c r="A111" s="415">
        <v>105</v>
      </c>
      <c r="B111" s="415">
        <v>279</v>
      </c>
      <c r="C111" t="s">
        <v>650</v>
      </c>
      <c r="D111" t="s">
        <v>1042</v>
      </c>
      <c r="E111" s="364">
        <v>-11156.512517000025</v>
      </c>
      <c r="F111" s="364">
        <v>-31652.475606369124</v>
      </c>
      <c r="G111" s="369">
        <v>-45641.71656000003</v>
      </c>
      <c r="H111" s="364">
        <v>-116230.41122271158</v>
      </c>
      <c r="I111" s="350">
        <f t="shared" si="18"/>
        <v>-204681.11590608075</v>
      </c>
      <c r="K111" s="66">
        <f t="shared" si="19"/>
        <v>0</v>
      </c>
      <c r="L111" s="66"/>
      <c r="M111" s="415">
        <v>105</v>
      </c>
      <c r="N111" s="415">
        <v>279</v>
      </c>
      <c r="O111" s="66" t="s">
        <v>650</v>
      </c>
      <c r="P111" t="s">
        <v>1042</v>
      </c>
      <c r="Q111" s="364">
        <v>-116230.41122271158</v>
      </c>
      <c r="R111" t="s">
        <v>2580</v>
      </c>
      <c r="S111" s="250"/>
      <c r="T111" s="159">
        <f t="shared" si="27"/>
        <v>0</v>
      </c>
      <c r="U111" s="250"/>
      <c r="V111" s="415">
        <v>105</v>
      </c>
      <c r="W111" t="s">
        <v>650</v>
      </c>
      <c r="X111" t="s">
        <v>1042</v>
      </c>
      <c r="Y111" s="364">
        <v>-10900.358520000016</v>
      </c>
      <c r="Z111" s="364">
        <v>-11156.512517000025</v>
      </c>
      <c r="AA111" s="369">
        <v>-31652.475606369124</v>
      </c>
      <c r="AB111" s="505">
        <v>-45641.71656000003</v>
      </c>
      <c r="AC111" s="350">
        <f t="shared" si="32"/>
        <v>-99351.063203369195</v>
      </c>
      <c r="AG111" s="159">
        <f t="shared" si="33"/>
        <v>0</v>
      </c>
      <c r="AI111" s="442" t="s">
        <v>650</v>
      </c>
      <c r="AJ111" t="s">
        <v>1042</v>
      </c>
      <c r="AK111" s="364">
        <v>0</v>
      </c>
      <c r="AL111" s="364">
        <v>-11156.512517000025</v>
      </c>
      <c r="AM111" s="369">
        <v>-31652.475606369124</v>
      </c>
      <c r="AN111" s="505">
        <v>-45641.71656000003</v>
      </c>
      <c r="AO111" s="448">
        <v>-55142.026643369165</v>
      </c>
      <c r="AP111" s="448"/>
      <c r="AQ111" s="438"/>
      <c r="AR111" s="449">
        <f t="shared" si="31"/>
        <v>-88450.704683369171</v>
      </c>
      <c r="AS111" s="438"/>
      <c r="AT111" s="438"/>
      <c r="AU111" s="364">
        <v>-11156.512517000025</v>
      </c>
      <c r="AV111" s="369">
        <v>-31652.475606369124</v>
      </c>
      <c r="AW111" s="505">
        <v>-45641.71656000003</v>
      </c>
      <c r="AX111" s="452">
        <f t="shared" si="23"/>
        <v>-88450.704683369171</v>
      </c>
      <c r="AY111" s="250">
        <f t="shared" si="29"/>
        <v>0</v>
      </c>
      <c r="AZ111" s="439"/>
      <c r="BA111" s="582">
        <v>-116230.41122271158</v>
      </c>
      <c r="BB111" s="462">
        <f t="shared" si="24"/>
        <v>-204681.11590608075</v>
      </c>
      <c r="BC111" s="463">
        <f t="shared" si="34"/>
        <v>0</v>
      </c>
      <c r="BD111" s="431"/>
      <c r="BE111" s="435">
        <f t="shared" si="35"/>
        <v>0</v>
      </c>
    </row>
    <row r="112" spans="1:57" ht="15">
      <c r="A112" s="415">
        <v>106</v>
      </c>
      <c r="B112" s="415">
        <v>169</v>
      </c>
      <c r="C112" t="s">
        <v>454</v>
      </c>
      <c r="D112" t="s">
        <v>956</v>
      </c>
      <c r="E112" s="364">
        <v>-64450.59666499999</v>
      </c>
      <c r="F112" s="364">
        <v>-66541.272544000007</v>
      </c>
      <c r="G112" s="369">
        <v>-93616.827196999948</v>
      </c>
      <c r="H112" s="364">
        <v>-122582.62064900002</v>
      </c>
      <c r="I112" s="350">
        <f t="shared" si="18"/>
        <v>-347191.31705499999</v>
      </c>
      <c r="K112" s="66">
        <f t="shared" si="19"/>
        <v>0</v>
      </c>
      <c r="L112" s="66"/>
      <c r="M112" s="415">
        <v>106</v>
      </c>
      <c r="N112" s="415">
        <v>169</v>
      </c>
      <c r="O112" s="66" t="s">
        <v>454</v>
      </c>
      <c r="P112" t="s">
        <v>956</v>
      </c>
      <c r="Q112" s="364">
        <v>-122582.62064900002</v>
      </c>
      <c r="R112" t="s">
        <v>2580</v>
      </c>
      <c r="S112" s="250"/>
      <c r="T112" s="159">
        <f t="shared" si="27"/>
        <v>0</v>
      </c>
      <c r="U112" s="250"/>
      <c r="V112" s="415">
        <v>106</v>
      </c>
      <c r="W112" t="s">
        <v>454</v>
      </c>
      <c r="X112" t="s">
        <v>956</v>
      </c>
      <c r="Y112" s="364">
        <v>-57888.475468000026</v>
      </c>
      <c r="Z112" s="364">
        <v>-64450.59666499999</v>
      </c>
      <c r="AA112" s="369">
        <v>-66541.272544000007</v>
      </c>
      <c r="AB112" s="505">
        <v>-93616.827196999948</v>
      </c>
      <c r="AC112" s="350">
        <f t="shared" si="32"/>
        <v>-282497.17187399999</v>
      </c>
      <c r="AG112" s="159">
        <f t="shared" si="33"/>
        <v>0</v>
      </c>
      <c r="AI112" s="442" t="s">
        <v>454</v>
      </c>
      <c r="AJ112" t="s">
        <v>956</v>
      </c>
      <c r="AK112" s="364">
        <v>0</v>
      </c>
      <c r="AL112" s="364">
        <v>-64450.59666499999</v>
      </c>
      <c r="AM112" s="369">
        <v>-66541.272544000007</v>
      </c>
      <c r="AN112" s="505">
        <v>-93616.827196999948</v>
      </c>
      <c r="AO112" s="448">
        <v>-268743.05467700004</v>
      </c>
      <c r="AP112" s="448"/>
      <c r="AQ112" s="438"/>
      <c r="AR112" s="449">
        <f t="shared" si="31"/>
        <v>-224608.69640599994</v>
      </c>
      <c r="AS112" s="438"/>
      <c r="AT112" s="438"/>
      <c r="AU112" s="364">
        <v>-64450.59666499999</v>
      </c>
      <c r="AV112" s="369">
        <v>-66541.272544000007</v>
      </c>
      <c r="AW112" s="505">
        <v>-93616.827196999948</v>
      </c>
      <c r="AX112" s="452">
        <f t="shared" si="23"/>
        <v>-224608.69640599994</v>
      </c>
      <c r="AY112" s="250">
        <f t="shared" si="29"/>
        <v>0</v>
      </c>
      <c r="AZ112" s="439"/>
      <c r="BA112" s="582">
        <v>-122582.62064900002</v>
      </c>
      <c r="BB112" s="462">
        <f t="shared" si="24"/>
        <v>-347191.31705499999</v>
      </c>
      <c r="BC112" s="463">
        <f t="shared" si="34"/>
        <v>0</v>
      </c>
      <c r="BD112" s="431"/>
      <c r="BE112" s="435">
        <f t="shared" si="35"/>
        <v>0</v>
      </c>
    </row>
    <row r="113" spans="1:57" ht="15">
      <c r="A113" s="415">
        <v>107</v>
      </c>
      <c r="B113" s="415">
        <v>323</v>
      </c>
      <c r="C113" t="s">
        <v>728</v>
      </c>
      <c r="D113" t="s">
        <v>1076</v>
      </c>
      <c r="E113" s="364">
        <v>-28125.532046000124</v>
      </c>
      <c r="F113" s="364">
        <v>5599.1015400000033</v>
      </c>
      <c r="G113" s="369">
        <v>-47179.567588000093</v>
      </c>
      <c r="H113" s="364">
        <v>-111296.13763100002</v>
      </c>
      <c r="I113" s="350">
        <f t="shared" si="18"/>
        <v>-181002.13572500023</v>
      </c>
      <c r="K113" s="66">
        <f t="shared" si="19"/>
        <v>0</v>
      </c>
      <c r="L113" s="66"/>
      <c r="M113" s="415">
        <v>107</v>
      </c>
      <c r="N113" s="415">
        <v>323</v>
      </c>
      <c r="O113" s="66" t="s">
        <v>728</v>
      </c>
      <c r="P113" t="s">
        <v>1076</v>
      </c>
      <c r="Q113" s="364">
        <v>-111296.13763100002</v>
      </c>
      <c r="R113" t="s">
        <v>2580</v>
      </c>
      <c r="S113" s="250"/>
      <c r="T113" s="159">
        <f t="shared" si="27"/>
        <v>0</v>
      </c>
      <c r="U113" s="250"/>
      <c r="V113" s="415">
        <v>107</v>
      </c>
      <c r="W113" t="s">
        <v>728</v>
      </c>
      <c r="X113" t="s">
        <v>1076</v>
      </c>
      <c r="Y113" s="364">
        <v>0</v>
      </c>
      <c r="Z113" s="364">
        <v>-28125.532046000124</v>
      </c>
      <c r="AA113" s="369">
        <v>5599.1015400000033</v>
      </c>
      <c r="AB113" s="505">
        <v>-47179.567588000093</v>
      </c>
      <c r="AC113" s="350">
        <f t="shared" si="32"/>
        <v>-69705.998094000213</v>
      </c>
      <c r="AG113" s="159">
        <f t="shared" si="33"/>
        <v>0</v>
      </c>
      <c r="AI113" s="442" t="s">
        <v>728</v>
      </c>
      <c r="AJ113" t="s">
        <v>1076</v>
      </c>
      <c r="AK113" s="364">
        <v>0</v>
      </c>
      <c r="AL113" s="364">
        <v>-28125.532046000124</v>
      </c>
      <c r="AM113" s="369">
        <v>5599.1015400000033</v>
      </c>
      <c r="AN113" s="505">
        <v>-47179.567588000093</v>
      </c>
      <c r="AO113" s="448">
        <v>-22526.430506000121</v>
      </c>
      <c r="AP113" s="448"/>
      <c r="AQ113" s="438"/>
      <c r="AR113" s="449">
        <f t="shared" si="31"/>
        <v>-69705.998094000213</v>
      </c>
      <c r="AS113" s="438"/>
      <c r="AT113" s="438"/>
      <c r="AU113" s="364">
        <v>-28125.532046000124</v>
      </c>
      <c r="AV113" s="369">
        <v>5599.1015400000033</v>
      </c>
      <c r="AW113" s="505">
        <v>-47179.567588000093</v>
      </c>
      <c r="AX113" s="452">
        <f t="shared" si="23"/>
        <v>-69705.998094000213</v>
      </c>
      <c r="AY113" s="250">
        <f t="shared" si="29"/>
        <v>0</v>
      </c>
      <c r="AZ113" s="439"/>
      <c r="BA113" s="582">
        <v>-111296.13763100002</v>
      </c>
      <c r="BB113" s="462">
        <f t="shared" si="24"/>
        <v>-181002.13572500023</v>
      </c>
      <c r="BC113" s="463">
        <f t="shared" si="34"/>
        <v>0</v>
      </c>
      <c r="BD113" s="431"/>
      <c r="BE113" s="435">
        <f t="shared" si="35"/>
        <v>0</v>
      </c>
    </row>
    <row r="114" spans="1:57" ht="15">
      <c r="A114" s="415">
        <v>108</v>
      </c>
      <c r="B114" s="415">
        <v>101</v>
      </c>
      <c r="C114" t="s">
        <v>346</v>
      </c>
      <c r="D114" t="s">
        <v>910</v>
      </c>
      <c r="E114" s="364">
        <v>1998147.5368302921</v>
      </c>
      <c r="F114" s="364">
        <v>1611959.2274518362</v>
      </c>
      <c r="G114" s="369">
        <v>406071.86672499962</v>
      </c>
      <c r="H114" s="364">
        <v>-116107.08071767725</v>
      </c>
      <c r="I114" s="350">
        <f t="shared" si="18"/>
        <v>3900071.5502894507</v>
      </c>
      <c r="K114" s="66">
        <f t="shared" si="19"/>
        <v>0</v>
      </c>
      <c r="L114" s="66"/>
      <c r="M114" s="415">
        <v>108</v>
      </c>
      <c r="N114" s="415">
        <v>101</v>
      </c>
      <c r="O114" s="66" t="s">
        <v>346</v>
      </c>
      <c r="P114" t="s">
        <v>910</v>
      </c>
      <c r="Q114" s="364">
        <v>-116107.08071767725</v>
      </c>
      <c r="R114" t="s">
        <v>2580</v>
      </c>
      <c r="S114" s="250"/>
      <c r="T114" s="159">
        <f t="shared" si="27"/>
        <v>0</v>
      </c>
      <c r="U114" s="250"/>
      <c r="V114" s="415">
        <v>108</v>
      </c>
      <c r="W114" t="s">
        <v>346</v>
      </c>
      <c r="X114" t="s">
        <v>910</v>
      </c>
      <c r="Y114" s="364">
        <v>376772.06116822094</v>
      </c>
      <c r="Z114" s="364">
        <v>1621375.4756620713</v>
      </c>
      <c r="AA114" s="369">
        <v>1611959.2274518362</v>
      </c>
      <c r="AB114" s="505">
        <v>406071.86672499962</v>
      </c>
      <c r="AC114" s="350">
        <f t="shared" si="32"/>
        <v>4016178.6310071279</v>
      </c>
      <c r="AG114" s="159">
        <f t="shared" si="33"/>
        <v>0</v>
      </c>
      <c r="AI114" s="442" t="s">
        <v>346</v>
      </c>
      <c r="AJ114" t="s">
        <v>910</v>
      </c>
      <c r="AK114" s="364">
        <v>0</v>
      </c>
      <c r="AL114" s="364">
        <v>1998147.5368302921</v>
      </c>
      <c r="AM114" s="369">
        <v>1611959.2274518362</v>
      </c>
      <c r="AN114" s="505">
        <v>406071.86672499962</v>
      </c>
      <c r="AO114" s="448">
        <v>3610106.7642821283</v>
      </c>
      <c r="AP114" s="448"/>
      <c r="AQ114" s="438"/>
      <c r="AR114" s="449">
        <f t="shared" si="31"/>
        <v>4016178.6310071279</v>
      </c>
      <c r="AS114" s="438"/>
      <c r="AT114" s="438"/>
      <c r="AU114" s="364">
        <v>1998147.5368302921</v>
      </c>
      <c r="AV114" s="369">
        <v>1611959.2274518362</v>
      </c>
      <c r="AW114" s="505">
        <v>406071.86672499962</v>
      </c>
      <c r="AX114" s="452">
        <f t="shared" si="23"/>
        <v>4016178.6310071279</v>
      </c>
      <c r="AY114" s="250">
        <f t="shared" si="29"/>
        <v>0</v>
      </c>
      <c r="AZ114" s="439"/>
      <c r="BA114" s="582">
        <v>-116107.08071767725</v>
      </c>
      <c r="BB114" s="462">
        <f t="shared" si="24"/>
        <v>3900071.5502894507</v>
      </c>
      <c r="BC114" s="463">
        <f t="shared" si="34"/>
        <v>0</v>
      </c>
      <c r="BD114" s="431"/>
      <c r="BE114" s="435">
        <f t="shared" ref="BE114:BE131" si="36">+O114-C114</f>
        <v>0</v>
      </c>
    </row>
    <row r="115" spans="1:57" ht="15">
      <c r="A115" s="415">
        <v>109</v>
      </c>
      <c r="B115" s="415">
        <v>30</v>
      </c>
      <c r="C115" t="s">
        <v>215</v>
      </c>
      <c r="D115" t="s">
        <v>850</v>
      </c>
      <c r="E115" s="364">
        <v>131941.27851699997</v>
      </c>
      <c r="F115" s="364">
        <v>70666.19280999992</v>
      </c>
      <c r="G115" s="369">
        <v>-48547.466496000066</v>
      </c>
      <c r="H115" s="364">
        <v>-136420.66817600012</v>
      </c>
      <c r="I115" s="350">
        <f t="shared" si="18"/>
        <v>17639.336654999701</v>
      </c>
      <c r="K115" s="66">
        <f t="shared" si="19"/>
        <v>0</v>
      </c>
      <c r="L115" s="66"/>
      <c r="M115" s="415">
        <v>109</v>
      </c>
      <c r="N115" s="415">
        <v>30</v>
      </c>
      <c r="O115" s="66" t="s">
        <v>215</v>
      </c>
      <c r="P115" t="s">
        <v>850</v>
      </c>
      <c r="Q115" s="364">
        <v>-136420.66817600012</v>
      </c>
      <c r="R115" t="s">
        <v>2580</v>
      </c>
      <c r="S115" s="250"/>
      <c r="T115" s="159">
        <f t="shared" si="27"/>
        <v>0</v>
      </c>
      <c r="U115" s="250"/>
      <c r="V115" s="415">
        <v>109</v>
      </c>
      <c r="W115" t="s">
        <v>215</v>
      </c>
      <c r="X115" t="s">
        <v>850</v>
      </c>
      <c r="Y115" s="364">
        <v>182.44672499999433</v>
      </c>
      <c r="Z115" s="364">
        <v>131758.83179199998</v>
      </c>
      <c r="AA115" s="369">
        <v>70666.19280999992</v>
      </c>
      <c r="AB115" s="505">
        <v>-48547.466496000066</v>
      </c>
      <c r="AC115" s="350">
        <f t="shared" si="32"/>
        <v>154060.00483099982</v>
      </c>
      <c r="AG115" s="159">
        <f t="shared" si="33"/>
        <v>0</v>
      </c>
      <c r="AI115" s="442" t="s">
        <v>215</v>
      </c>
      <c r="AJ115" t="s">
        <v>850</v>
      </c>
      <c r="AK115" s="364">
        <v>0</v>
      </c>
      <c r="AL115" s="364">
        <v>131941.27851699997</v>
      </c>
      <c r="AM115" s="369">
        <v>70666.19280999992</v>
      </c>
      <c r="AN115" s="505">
        <v>-48547.466496000066</v>
      </c>
      <c r="AO115" s="448">
        <v>202607.47132699989</v>
      </c>
      <c r="AP115" s="448"/>
      <c r="AQ115" s="438"/>
      <c r="AR115" s="449">
        <f t="shared" si="31"/>
        <v>154060.00483099982</v>
      </c>
      <c r="AS115" s="438"/>
      <c r="AT115" s="438"/>
      <c r="AU115" s="364">
        <v>131941.27851699997</v>
      </c>
      <c r="AV115" s="369">
        <v>70666.19280999992</v>
      </c>
      <c r="AW115" s="505">
        <v>-48547.466496000066</v>
      </c>
      <c r="AX115" s="452">
        <f t="shared" si="23"/>
        <v>154060.00483099982</v>
      </c>
      <c r="AY115" s="250">
        <f t="shared" si="29"/>
        <v>0</v>
      </c>
      <c r="AZ115" s="439"/>
      <c r="BA115" s="582">
        <v>-136420.66817600012</v>
      </c>
      <c r="BB115" s="462">
        <f t="shared" si="24"/>
        <v>17639.336654999701</v>
      </c>
      <c r="BC115" s="463">
        <f t="shared" si="34"/>
        <v>0</v>
      </c>
      <c r="BD115" s="431"/>
      <c r="BE115" s="435">
        <f t="shared" si="36"/>
        <v>0</v>
      </c>
    </row>
    <row r="116" spans="1:57" ht="15">
      <c r="A116" s="415">
        <v>110</v>
      </c>
      <c r="B116" s="415">
        <v>177</v>
      </c>
      <c r="C116" t="s">
        <v>470</v>
      </c>
      <c r="D116" t="s">
        <v>964</v>
      </c>
      <c r="E116" s="364">
        <v>-114535.43407699998</v>
      </c>
      <c r="F116" s="364">
        <v>-100516.92986999991</v>
      </c>
      <c r="G116" s="369">
        <v>-108316.67852800013</v>
      </c>
      <c r="H116" s="364">
        <v>-135247.14837200003</v>
      </c>
      <c r="I116" s="350">
        <f t="shared" si="18"/>
        <v>-458616.19084700005</v>
      </c>
      <c r="K116" s="66">
        <f t="shared" si="19"/>
        <v>0</v>
      </c>
      <c r="L116" s="66"/>
      <c r="M116" s="415">
        <v>110</v>
      </c>
      <c r="N116" s="415">
        <v>177</v>
      </c>
      <c r="O116" s="66" t="s">
        <v>470</v>
      </c>
      <c r="P116" t="s">
        <v>964</v>
      </c>
      <c r="Q116" s="364">
        <v>-135247.14837200003</v>
      </c>
      <c r="R116" t="s">
        <v>2580</v>
      </c>
      <c r="S116" s="250"/>
      <c r="T116" s="159">
        <f t="shared" si="27"/>
        <v>0</v>
      </c>
      <c r="U116" s="250"/>
      <c r="V116" s="415">
        <v>110</v>
      </c>
      <c r="W116" t="s">
        <v>470</v>
      </c>
      <c r="X116" t="s">
        <v>964</v>
      </c>
      <c r="Y116" s="364">
        <v>-166429.96428400002</v>
      </c>
      <c r="Z116" s="364">
        <v>-114535.43407699998</v>
      </c>
      <c r="AA116" s="369">
        <v>-100516.92986999991</v>
      </c>
      <c r="AB116" s="505">
        <v>-108316.67852800013</v>
      </c>
      <c r="AC116" s="350">
        <f t="shared" si="32"/>
        <v>-489799.00675900001</v>
      </c>
      <c r="AG116" s="159">
        <f t="shared" si="33"/>
        <v>0</v>
      </c>
      <c r="AI116" s="442" t="s">
        <v>470</v>
      </c>
      <c r="AJ116" t="s">
        <v>964</v>
      </c>
      <c r="AK116" s="364">
        <v>0</v>
      </c>
      <c r="AL116" s="364">
        <v>-114535.43407699998</v>
      </c>
      <c r="AM116" s="369">
        <v>-100516.92986999991</v>
      </c>
      <c r="AN116" s="505">
        <v>-108316.67852800013</v>
      </c>
      <c r="AO116" s="448">
        <v>-490035.74823099992</v>
      </c>
      <c r="AP116" s="448"/>
      <c r="AQ116" s="438"/>
      <c r="AR116" s="449">
        <f t="shared" si="31"/>
        <v>-323369.04247500002</v>
      </c>
      <c r="AS116" s="438"/>
      <c r="AT116" s="438"/>
      <c r="AU116" s="364">
        <v>-114535.43407699998</v>
      </c>
      <c r="AV116" s="369">
        <v>-100516.92986999991</v>
      </c>
      <c r="AW116" s="505">
        <v>-108316.67852800013</v>
      </c>
      <c r="AX116" s="452">
        <f t="shared" si="23"/>
        <v>-323369.04247500002</v>
      </c>
      <c r="AY116" s="250">
        <f t="shared" si="29"/>
        <v>0</v>
      </c>
      <c r="AZ116" s="439"/>
      <c r="BA116" s="582">
        <v>-135247.14837200003</v>
      </c>
      <c r="BB116" s="462">
        <f t="shared" si="24"/>
        <v>-458616.19084700005</v>
      </c>
      <c r="BC116" s="463">
        <f t="shared" ref="BC116:BC179" si="37">+BB116-I116</f>
        <v>0</v>
      </c>
      <c r="BD116" s="431"/>
      <c r="BE116" s="435">
        <f t="shared" si="36"/>
        <v>0</v>
      </c>
    </row>
    <row r="117" spans="1:57" ht="15">
      <c r="A117" s="415">
        <v>111</v>
      </c>
      <c r="B117" s="415">
        <v>77</v>
      </c>
      <c r="C117" t="s">
        <v>299</v>
      </c>
      <c r="D117" t="s">
        <v>888</v>
      </c>
      <c r="E117" s="364">
        <v>717656.78250599978</v>
      </c>
      <c r="F117" s="364">
        <v>73632.615452000027</v>
      </c>
      <c r="G117" s="369">
        <v>-50395.53416500031</v>
      </c>
      <c r="H117" s="364">
        <v>153717.9036340001</v>
      </c>
      <c r="I117" s="350">
        <f t="shared" si="18"/>
        <v>894611.76742699964</v>
      </c>
      <c r="K117" s="66">
        <f t="shared" si="19"/>
        <v>0</v>
      </c>
      <c r="L117" s="66"/>
      <c r="M117" s="415">
        <v>111</v>
      </c>
      <c r="N117" s="415">
        <v>77</v>
      </c>
      <c r="O117" s="66" t="s">
        <v>299</v>
      </c>
      <c r="P117" t="s">
        <v>888</v>
      </c>
      <c r="Q117" s="364">
        <v>153717.9036340001</v>
      </c>
      <c r="R117" t="s">
        <v>2580</v>
      </c>
      <c r="S117" s="250"/>
      <c r="T117" s="159">
        <f t="shared" si="27"/>
        <v>0</v>
      </c>
      <c r="U117" s="250"/>
      <c r="V117" s="415">
        <v>111</v>
      </c>
      <c r="W117" t="s">
        <v>299</v>
      </c>
      <c r="X117" t="s">
        <v>888</v>
      </c>
      <c r="Y117" s="364">
        <v>622345.30785600003</v>
      </c>
      <c r="Z117" s="364">
        <v>95311.474649999756</v>
      </c>
      <c r="AA117" s="369">
        <v>73632.615452000027</v>
      </c>
      <c r="AB117" s="505">
        <v>-50395.53416500031</v>
      </c>
      <c r="AC117" s="350">
        <f t="shared" si="32"/>
        <v>740893.86379299953</v>
      </c>
      <c r="AG117" s="159">
        <f t="shared" si="33"/>
        <v>0</v>
      </c>
      <c r="AI117" s="442" t="s">
        <v>299</v>
      </c>
      <c r="AJ117" t="s">
        <v>888</v>
      </c>
      <c r="AK117" s="364">
        <v>0</v>
      </c>
      <c r="AL117" s="364">
        <v>717656.78250599978</v>
      </c>
      <c r="AM117" s="369">
        <v>73632.615452000027</v>
      </c>
      <c r="AN117" s="505">
        <v>-50395.53416500031</v>
      </c>
      <c r="AO117" s="448">
        <v>791289.39795799984</v>
      </c>
      <c r="AP117" s="448"/>
      <c r="AQ117" s="438"/>
      <c r="AR117" s="449">
        <f t="shared" si="31"/>
        <v>740893.86379299953</v>
      </c>
      <c r="AS117" s="438"/>
      <c r="AT117" s="438"/>
      <c r="AU117" s="364">
        <v>717656.78250599978</v>
      </c>
      <c r="AV117" s="369">
        <v>73632.615452000027</v>
      </c>
      <c r="AW117" s="505">
        <v>-50395.53416500031</v>
      </c>
      <c r="AX117" s="452">
        <f t="shared" si="23"/>
        <v>740893.86379299953</v>
      </c>
      <c r="AY117" s="250">
        <f t="shared" si="29"/>
        <v>0</v>
      </c>
      <c r="AZ117" s="439"/>
      <c r="BA117" s="582">
        <v>153717.9036340001</v>
      </c>
      <c r="BB117" s="462">
        <f t="shared" si="24"/>
        <v>894611.76742699964</v>
      </c>
      <c r="BC117" s="463">
        <f t="shared" si="37"/>
        <v>0</v>
      </c>
      <c r="BD117" s="431"/>
      <c r="BE117" s="435">
        <f t="shared" si="36"/>
        <v>0</v>
      </c>
    </row>
    <row r="118" spans="1:57" ht="15" customHeight="1">
      <c r="A118" s="415">
        <v>112</v>
      </c>
      <c r="B118" s="415">
        <v>125</v>
      </c>
      <c r="C118" s="598" t="s">
        <v>2303</v>
      </c>
      <c r="D118" s="231" t="s">
        <v>2624</v>
      </c>
      <c r="E118" s="364">
        <v>0</v>
      </c>
      <c r="F118" s="364">
        <v>0</v>
      </c>
      <c r="G118" s="369">
        <v>-11759.256852000006</v>
      </c>
      <c r="H118" s="364">
        <v>-43691.309944999986</v>
      </c>
      <c r="I118" s="350">
        <f t="shared" si="18"/>
        <v>-55450.566796999992</v>
      </c>
      <c r="K118" s="66">
        <f t="shared" si="19"/>
        <v>0</v>
      </c>
      <c r="L118" s="66"/>
      <c r="M118" s="415">
        <v>112</v>
      </c>
      <c r="N118" s="415">
        <v>125</v>
      </c>
      <c r="O118" s="66" t="s">
        <v>2303</v>
      </c>
      <c r="P118" s="427" t="s">
        <v>2393</v>
      </c>
      <c r="Q118" s="364">
        <v>-43691.309944999986</v>
      </c>
      <c r="R118" t="s">
        <v>2580</v>
      </c>
      <c r="S118" s="250"/>
      <c r="T118" s="159">
        <f t="shared" si="27"/>
        <v>0</v>
      </c>
      <c r="U118" s="250"/>
      <c r="V118" s="415">
        <v>112</v>
      </c>
      <c r="W118" s="425" t="s">
        <v>2303</v>
      </c>
      <c r="X118" s="427" t="s">
        <v>2393</v>
      </c>
      <c r="Y118" s="364"/>
      <c r="Z118" s="364"/>
      <c r="AA118" s="369"/>
      <c r="AB118" s="505">
        <v>-11759.256852000006</v>
      </c>
      <c r="AC118" s="350"/>
      <c r="AG118" s="159"/>
      <c r="AI118" s="442"/>
      <c r="AJ118" s="427" t="s">
        <v>2393</v>
      </c>
      <c r="AK118" s="364">
        <v>0</v>
      </c>
      <c r="AL118" s="364">
        <v>0</v>
      </c>
      <c r="AM118" s="364">
        <v>0</v>
      </c>
      <c r="AN118" s="505">
        <v>-11759.256852000006</v>
      </c>
      <c r="AO118" s="448"/>
      <c r="AP118" s="448"/>
      <c r="AQ118" s="438"/>
      <c r="AR118" s="449">
        <f t="shared" si="31"/>
        <v>-11759.256852000006</v>
      </c>
      <c r="AS118" s="438"/>
      <c r="AT118" s="438"/>
      <c r="AU118" s="364">
        <v>0</v>
      </c>
      <c r="AV118" s="364">
        <v>0</v>
      </c>
      <c r="AW118" s="505">
        <v>-11759.256852000006</v>
      </c>
      <c r="AX118" s="452">
        <f t="shared" si="23"/>
        <v>-11759.256852000006</v>
      </c>
      <c r="AY118" s="250">
        <f t="shared" si="29"/>
        <v>0</v>
      </c>
      <c r="AZ118" s="439"/>
      <c r="BA118" s="582">
        <v>-43691.309944999986</v>
      </c>
      <c r="BB118" s="462">
        <f t="shared" si="24"/>
        <v>-55450.566796999992</v>
      </c>
      <c r="BC118" s="463">
        <f t="shared" si="37"/>
        <v>0</v>
      </c>
      <c r="BD118" s="431"/>
      <c r="BE118" s="435">
        <f t="shared" si="36"/>
        <v>0</v>
      </c>
    </row>
    <row r="119" spans="1:57" ht="15">
      <c r="A119" s="415">
        <v>113</v>
      </c>
      <c r="B119" s="415">
        <v>212</v>
      </c>
      <c r="C119" s="599" t="s">
        <v>1634</v>
      </c>
      <c r="D119" s="231" t="s">
        <v>1995</v>
      </c>
      <c r="E119" s="367">
        <v>0</v>
      </c>
      <c r="F119" s="367">
        <v>-42602.327000000005</v>
      </c>
      <c r="G119" s="369">
        <v>-17136.269883999979</v>
      </c>
      <c r="H119" s="364">
        <v>-49825.336020000046</v>
      </c>
      <c r="I119" s="350">
        <f t="shared" si="18"/>
        <v>-109563.93290400003</v>
      </c>
      <c r="K119" s="66">
        <f t="shared" si="19"/>
        <v>0</v>
      </c>
      <c r="L119" s="66"/>
      <c r="M119" s="415">
        <v>113</v>
      </c>
      <c r="N119" s="415">
        <v>212</v>
      </c>
      <c r="O119" s="66" t="s">
        <v>1634</v>
      </c>
      <c r="P119" s="231" t="s">
        <v>1995</v>
      </c>
      <c r="Q119" s="364">
        <v>-49825.336020000046</v>
      </c>
      <c r="R119" t="s">
        <v>2580</v>
      </c>
      <c r="S119" s="250"/>
      <c r="T119" s="159">
        <f t="shared" si="27"/>
        <v>0</v>
      </c>
      <c r="U119" s="250"/>
      <c r="V119" s="415">
        <v>113</v>
      </c>
      <c r="W119" s="230" t="s">
        <v>1634</v>
      </c>
      <c r="X119" s="231" t="s">
        <v>1995</v>
      </c>
      <c r="Y119" s="367">
        <v>0</v>
      </c>
      <c r="Z119" s="367">
        <v>0</v>
      </c>
      <c r="AA119" s="369">
        <v>-42602.327000000005</v>
      </c>
      <c r="AB119" s="505">
        <v>-17136.269883999979</v>
      </c>
      <c r="AC119" s="350">
        <f t="shared" ref="AC119:AC150" si="38">SUM(Y119:AB119)</f>
        <v>-59738.596883999984</v>
      </c>
      <c r="AG119" s="159">
        <f t="shared" ref="AG119:AG150" si="39">+AI119-W119</f>
        <v>0</v>
      </c>
      <c r="AI119" s="442" t="s">
        <v>1634</v>
      </c>
      <c r="AJ119" s="231" t="s">
        <v>1995</v>
      </c>
      <c r="AK119" s="364">
        <v>0</v>
      </c>
      <c r="AL119" s="364">
        <v>0</v>
      </c>
      <c r="AM119" s="369">
        <v>-42602.327000000005</v>
      </c>
      <c r="AN119" s="505">
        <v>-17136.269883999979</v>
      </c>
      <c r="AO119" s="448">
        <v>-42602.327000000005</v>
      </c>
      <c r="AP119" s="448"/>
      <c r="AQ119" s="438"/>
      <c r="AR119" s="449">
        <f t="shared" si="31"/>
        <v>-59738.596883999984</v>
      </c>
      <c r="AS119" s="438"/>
      <c r="AT119" s="438"/>
      <c r="AU119" s="364">
        <v>0</v>
      </c>
      <c r="AV119" s="369">
        <v>-42602.327000000005</v>
      </c>
      <c r="AW119" s="505">
        <v>-17136.269883999979</v>
      </c>
      <c r="AX119" s="452">
        <f t="shared" si="23"/>
        <v>-59738.596883999984</v>
      </c>
      <c r="AY119" s="250">
        <f t="shared" si="29"/>
        <v>0</v>
      </c>
      <c r="AZ119" s="439"/>
      <c r="BA119" s="582">
        <v>-49825.336020000046</v>
      </c>
      <c r="BB119" s="462">
        <f t="shared" si="24"/>
        <v>-109563.93290400003</v>
      </c>
      <c r="BC119" s="463">
        <f t="shared" si="37"/>
        <v>0</v>
      </c>
      <c r="BD119" s="431"/>
      <c r="BE119" s="435">
        <f t="shared" si="36"/>
        <v>0</v>
      </c>
    </row>
    <row r="120" spans="1:57" ht="15">
      <c r="A120" s="415">
        <v>114</v>
      </c>
      <c r="B120" s="415">
        <v>122</v>
      </c>
      <c r="C120" t="s">
        <v>1509</v>
      </c>
      <c r="D120" t="s">
        <v>1598</v>
      </c>
      <c r="E120" s="364">
        <v>-2382.4100000000035</v>
      </c>
      <c r="F120" s="364">
        <v>-30251.724000000017</v>
      </c>
      <c r="G120" s="369">
        <v>-5507.4399999999441</v>
      </c>
      <c r="H120" s="364">
        <v>-94696.827280000027</v>
      </c>
      <c r="I120" s="350">
        <f t="shared" si="18"/>
        <v>-132838.40127999999</v>
      </c>
      <c r="K120" s="66">
        <f t="shared" si="19"/>
        <v>0</v>
      </c>
      <c r="L120" s="66"/>
      <c r="M120" s="415">
        <v>114</v>
      </c>
      <c r="N120" s="415">
        <v>122</v>
      </c>
      <c r="O120" s="66" t="s">
        <v>1509</v>
      </c>
      <c r="P120" t="s">
        <v>1598</v>
      </c>
      <c r="Q120" s="364">
        <v>-94696.827280000027</v>
      </c>
      <c r="R120" t="s">
        <v>2580</v>
      </c>
      <c r="S120" s="250"/>
      <c r="T120" s="159">
        <f t="shared" si="27"/>
        <v>0</v>
      </c>
      <c r="U120" s="250"/>
      <c r="V120" s="415">
        <v>114</v>
      </c>
      <c r="W120" t="s">
        <v>1509</v>
      </c>
      <c r="X120" t="s">
        <v>1598</v>
      </c>
      <c r="Y120" s="364">
        <v>-8909.7000000000007</v>
      </c>
      <c r="Z120" s="364">
        <v>-2382.4100000000035</v>
      </c>
      <c r="AA120" s="369">
        <v>-30251.724000000017</v>
      </c>
      <c r="AB120" s="505">
        <v>-5507.4399999999441</v>
      </c>
      <c r="AC120" s="350">
        <f t="shared" si="38"/>
        <v>-47051.273999999961</v>
      </c>
      <c r="AG120" s="159">
        <f t="shared" si="39"/>
        <v>0</v>
      </c>
      <c r="AI120" s="442" t="s">
        <v>1509</v>
      </c>
      <c r="AJ120" t="s">
        <v>1598</v>
      </c>
      <c r="AK120" s="364">
        <v>0</v>
      </c>
      <c r="AL120" s="364">
        <v>-2382.4100000000035</v>
      </c>
      <c r="AM120" s="369">
        <v>-30251.724000000017</v>
      </c>
      <c r="AN120" s="505">
        <v>-5507.4399999999441</v>
      </c>
      <c r="AO120" s="448">
        <v>-41543.834000000017</v>
      </c>
      <c r="AP120" s="448"/>
      <c r="AQ120" s="438"/>
      <c r="AR120" s="449">
        <f t="shared" si="31"/>
        <v>-38141.573999999964</v>
      </c>
      <c r="AS120" s="438"/>
      <c r="AT120" s="438"/>
      <c r="AU120" s="364">
        <v>-2382.4100000000035</v>
      </c>
      <c r="AV120" s="369">
        <v>-30251.724000000017</v>
      </c>
      <c r="AW120" s="505">
        <v>-5507.4399999999441</v>
      </c>
      <c r="AX120" s="452">
        <f t="shared" si="23"/>
        <v>-38141.573999999964</v>
      </c>
      <c r="AY120" s="250">
        <f t="shared" si="29"/>
        <v>0</v>
      </c>
      <c r="AZ120" s="439"/>
      <c r="BA120" s="582">
        <v>-94696.827280000027</v>
      </c>
      <c r="BB120" s="462">
        <f t="shared" si="24"/>
        <v>-132838.40127999999</v>
      </c>
      <c r="BC120" s="463">
        <f t="shared" si="37"/>
        <v>0</v>
      </c>
      <c r="BD120" s="431"/>
      <c r="BE120" s="435">
        <f t="shared" si="36"/>
        <v>0</v>
      </c>
    </row>
    <row r="121" spans="1:57" ht="15">
      <c r="A121" s="415">
        <v>115</v>
      </c>
      <c r="B121" s="415">
        <v>123</v>
      </c>
      <c r="C121" t="s">
        <v>1576</v>
      </c>
      <c r="D121" t="s">
        <v>1590</v>
      </c>
      <c r="E121" s="364">
        <v>-17612.550000000003</v>
      </c>
      <c r="F121" s="364">
        <v>-241103.59100000001</v>
      </c>
      <c r="G121" s="369">
        <v>-2987.609552000009</v>
      </c>
      <c r="H121" s="364">
        <v>-38834.194370000012</v>
      </c>
      <c r="I121" s="350">
        <f t="shared" si="18"/>
        <v>-300537.94492200005</v>
      </c>
      <c r="K121" s="66">
        <f t="shared" si="19"/>
        <v>0</v>
      </c>
      <c r="L121" s="66"/>
      <c r="M121" s="415">
        <v>115</v>
      </c>
      <c r="N121" s="415">
        <v>123</v>
      </c>
      <c r="O121" s="66" t="s">
        <v>1576</v>
      </c>
      <c r="P121" t="s">
        <v>1590</v>
      </c>
      <c r="Q121" s="364">
        <v>-38834.194370000012</v>
      </c>
      <c r="R121" t="s">
        <v>2580</v>
      </c>
      <c r="S121" s="250"/>
      <c r="T121" s="159">
        <f t="shared" si="27"/>
        <v>0</v>
      </c>
      <c r="U121" s="250"/>
      <c r="V121" s="415">
        <v>115</v>
      </c>
      <c r="W121" t="s">
        <v>1576</v>
      </c>
      <c r="X121" t="s">
        <v>1590</v>
      </c>
      <c r="Y121" s="364">
        <v>0</v>
      </c>
      <c r="Z121" s="364">
        <v>-17612.550000000003</v>
      </c>
      <c r="AA121" s="369">
        <v>-241103.59100000001</v>
      </c>
      <c r="AB121" s="505">
        <v>-2987.609552000009</v>
      </c>
      <c r="AC121" s="350">
        <f t="shared" si="38"/>
        <v>-261703.75055200001</v>
      </c>
      <c r="AG121" s="159">
        <f t="shared" si="39"/>
        <v>0</v>
      </c>
      <c r="AI121" s="442" t="s">
        <v>1576</v>
      </c>
      <c r="AJ121" t="s">
        <v>1590</v>
      </c>
      <c r="AK121" s="364">
        <v>0</v>
      </c>
      <c r="AL121" s="364">
        <v>-17612.550000000003</v>
      </c>
      <c r="AM121" s="369">
        <v>-241103.59100000001</v>
      </c>
      <c r="AN121" s="505">
        <v>-2987.609552000009</v>
      </c>
      <c r="AO121" s="448">
        <v>-258716.141</v>
      </c>
      <c r="AP121" s="448"/>
      <c r="AQ121" s="438"/>
      <c r="AR121" s="449">
        <f t="shared" si="31"/>
        <v>-261703.75055200001</v>
      </c>
      <c r="AS121" s="438"/>
      <c r="AT121" s="438"/>
      <c r="AU121" s="364">
        <v>-17612.550000000003</v>
      </c>
      <c r="AV121" s="369">
        <v>-241103.59100000001</v>
      </c>
      <c r="AW121" s="505">
        <v>-2987.609552000009</v>
      </c>
      <c r="AX121" s="452">
        <f t="shared" si="23"/>
        <v>-261703.75055200001</v>
      </c>
      <c r="AY121" s="250">
        <f t="shared" si="29"/>
        <v>0</v>
      </c>
      <c r="AZ121" s="439"/>
      <c r="BA121" s="582">
        <v>-38834.194370000012</v>
      </c>
      <c r="BB121" s="462">
        <f t="shared" si="24"/>
        <v>-300537.94492200005</v>
      </c>
      <c r="BC121" s="463">
        <f t="shared" si="37"/>
        <v>0</v>
      </c>
      <c r="BD121" s="431"/>
      <c r="BE121" s="435">
        <f t="shared" si="36"/>
        <v>0</v>
      </c>
    </row>
    <row r="122" spans="1:57" ht="15">
      <c r="A122" s="415">
        <v>116</v>
      </c>
      <c r="B122" s="415">
        <v>58</v>
      </c>
      <c r="C122" t="s">
        <v>263</v>
      </c>
      <c r="D122" t="s">
        <v>872</v>
      </c>
      <c r="E122" s="364">
        <v>-167245.39209293295</v>
      </c>
      <c r="F122" s="364">
        <v>-210487.62324812185</v>
      </c>
      <c r="G122" s="369">
        <v>-192754.01928800001</v>
      </c>
      <c r="H122" s="364">
        <v>-115767.29146000001</v>
      </c>
      <c r="I122" s="350">
        <f t="shared" si="18"/>
        <v>-686254.32608905481</v>
      </c>
      <c r="K122" s="66">
        <f t="shared" si="19"/>
        <v>0</v>
      </c>
      <c r="L122" s="66"/>
      <c r="M122" s="415">
        <v>116</v>
      </c>
      <c r="N122" s="415">
        <v>58</v>
      </c>
      <c r="O122" s="66" t="s">
        <v>263</v>
      </c>
      <c r="P122" t="s">
        <v>872</v>
      </c>
      <c r="Q122" s="364">
        <v>-115767.29146000001</v>
      </c>
      <c r="R122" t="s">
        <v>2580</v>
      </c>
      <c r="S122" s="250"/>
      <c r="T122" s="159">
        <f t="shared" si="27"/>
        <v>0</v>
      </c>
      <c r="U122" s="250"/>
      <c r="V122" s="415">
        <v>116</v>
      </c>
      <c r="W122" t="s">
        <v>263</v>
      </c>
      <c r="X122" t="s">
        <v>872</v>
      </c>
      <c r="Y122" s="364">
        <v>-107667.65815240017</v>
      </c>
      <c r="Z122" s="364">
        <v>-167245.39209293295</v>
      </c>
      <c r="AA122" s="369">
        <v>-210487.62324812185</v>
      </c>
      <c r="AB122" s="505">
        <v>-192754.01928800001</v>
      </c>
      <c r="AC122" s="350">
        <f t="shared" si="38"/>
        <v>-678154.69278145488</v>
      </c>
      <c r="AG122" s="159">
        <f t="shared" si="39"/>
        <v>0</v>
      </c>
      <c r="AI122" s="442" t="s">
        <v>263</v>
      </c>
      <c r="AJ122" t="s">
        <v>872</v>
      </c>
      <c r="AK122" s="364">
        <v>0</v>
      </c>
      <c r="AL122" s="364">
        <v>-167245.39209293295</v>
      </c>
      <c r="AM122" s="369">
        <v>-210487.62324812185</v>
      </c>
      <c r="AN122" s="505">
        <v>-192754.01928800001</v>
      </c>
      <c r="AO122" s="448">
        <v>-577168.47349345498</v>
      </c>
      <c r="AP122" s="448"/>
      <c r="AQ122" s="438"/>
      <c r="AR122" s="449">
        <f t="shared" si="31"/>
        <v>-570487.03462905483</v>
      </c>
      <c r="AS122" s="438"/>
      <c r="AT122" s="438"/>
      <c r="AU122" s="364">
        <v>-167245.39209293295</v>
      </c>
      <c r="AV122" s="369">
        <v>-210487.62324812185</v>
      </c>
      <c r="AW122" s="505">
        <v>-192754.01928800001</v>
      </c>
      <c r="AX122" s="452">
        <f t="shared" si="23"/>
        <v>-570487.03462905483</v>
      </c>
      <c r="AY122" s="250">
        <f t="shared" si="29"/>
        <v>0</v>
      </c>
      <c r="AZ122" s="439"/>
      <c r="BA122" s="582">
        <v>-115767.29146000001</v>
      </c>
      <c r="BB122" s="462">
        <f t="shared" si="24"/>
        <v>-686254.32608905481</v>
      </c>
      <c r="BC122" s="463">
        <f t="shared" si="37"/>
        <v>0</v>
      </c>
      <c r="BD122" s="431"/>
      <c r="BE122" s="435">
        <f t="shared" si="36"/>
        <v>0</v>
      </c>
    </row>
    <row r="123" spans="1:57" ht="15">
      <c r="A123" s="415">
        <v>117</v>
      </c>
      <c r="B123" s="415">
        <v>236</v>
      </c>
      <c r="C123" t="s">
        <v>576</v>
      </c>
      <c r="D123" t="s">
        <v>1010</v>
      </c>
      <c r="E123" s="364">
        <v>0</v>
      </c>
      <c r="F123" s="364">
        <v>4657.1590469999992</v>
      </c>
      <c r="G123" s="369">
        <v>1685.4091500000031</v>
      </c>
      <c r="H123" s="364">
        <v>-3422.9267040000013</v>
      </c>
      <c r="I123" s="350">
        <f t="shared" si="18"/>
        <v>2919.641493000001</v>
      </c>
      <c r="K123" s="66">
        <f t="shared" si="19"/>
        <v>0</v>
      </c>
      <c r="L123" s="66"/>
      <c r="M123" s="415">
        <v>117</v>
      </c>
      <c r="N123" s="415">
        <v>236</v>
      </c>
      <c r="O123" s="66" t="s">
        <v>576</v>
      </c>
      <c r="P123" t="s">
        <v>1010</v>
      </c>
      <c r="Q123" s="364">
        <v>-3422.9267040000013</v>
      </c>
      <c r="R123" t="s">
        <v>2580</v>
      </c>
      <c r="S123" s="250"/>
      <c r="T123" s="159">
        <f t="shared" si="27"/>
        <v>0</v>
      </c>
      <c r="U123" s="250"/>
      <c r="V123" s="415">
        <v>117</v>
      </c>
      <c r="W123" t="s">
        <v>576</v>
      </c>
      <c r="X123" t="s">
        <v>1010</v>
      </c>
      <c r="Y123" s="364">
        <v>-2670.8454049999973</v>
      </c>
      <c r="Z123" s="364">
        <v>0</v>
      </c>
      <c r="AA123" s="369">
        <v>4657.1590469999992</v>
      </c>
      <c r="AB123" s="505">
        <v>1685.4091500000031</v>
      </c>
      <c r="AC123" s="350">
        <f t="shared" si="38"/>
        <v>3671.722792000005</v>
      </c>
      <c r="AG123" s="159">
        <f t="shared" si="39"/>
        <v>0</v>
      </c>
      <c r="AI123" s="442" t="s">
        <v>576</v>
      </c>
      <c r="AJ123" t="s">
        <v>1010</v>
      </c>
      <c r="AK123" s="364">
        <v>0</v>
      </c>
      <c r="AL123" s="364">
        <v>0</v>
      </c>
      <c r="AM123" s="369">
        <v>4657.1590469999992</v>
      </c>
      <c r="AN123" s="505">
        <v>1685.4091500000031</v>
      </c>
      <c r="AO123" s="448">
        <v>-12174.326357999997</v>
      </c>
      <c r="AP123" s="448"/>
      <c r="AQ123" s="438"/>
      <c r="AR123" s="449">
        <f t="shared" si="31"/>
        <v>6342.5681970000023</v>
      </c>
      <c r="AS123" s="438"/>
      <c r="AT123" s="438"/>
      <c r="AU123" s="364">
        <v>0</v>
      </c>
      <c r="AV123" s="369">
        <v>4657.1590469999992</v>
      </c>
      <c r="AW123" s="505">
        <v>1685.4091500000031</v>
      </c>
      <c r="AX123" s="452">
        <f t="shared" si="23"/>
        <v>6342.5681970000023</v>
      </c>
      <c r="AY123" s="250">
        <f t="shared" si="29"/>
        <v>0</v>
      </c>
      <c r="AZ123" s="439"/>
      <c r="BA123" s="582">
        <v>-3422.9267040000013</v>
      </c>
      <c r="BB123" s="462">
        <f t="shared" si="24"/>
        <v>2919.641493000001</v>
      </c>
      <c r="BC123" s="463">
        <f t="shared" si="37"/>
        <v>0</v>
      </c>
      <c r="BD123" s="431"/>
      <c r="BE123" s="435">
        <f t="shared" si="36"/>
        <v>0</v>
      </c>
    </row>
    <row r="124" spans="1:57" ht="15">
      <c r="A124" s="415">
        <v>118</v>
      </c>
      <c r="B124" s="415">
        <v>261</v>
      </c>
      <c r="C124" t="s">
        <v>1378</v>
      </c>
      <c r="D124" s="600" t="s">
        <v>2626</v>
      </c>
      <c r="E124" s="364">
        <v>0</v>
      </c>
      <c r="F124" s="364">
        <v>-120658.144875</v>
      </c>
      <c r="G124" s="369">
        <v>-114390.428686</v>
      </c>
      <c r="H124" s="364">
        <v>-46274.699238000016</v>
      </c>
      <c r="I124" s="350">
        <f t="shared" si="18"/>
        <v>-281323.27279900003</v>
      </c>
      <c r="K124" s="66">
        <f t="shared" si="19"/>
        <v>0</v>
      </c>
      <c r="L124" s="66"/>
      <c r="M124" s="415">
        <v>118</v>
      </c>
      <c r="N124" s="415">
        <v>261</v>
      </c>
      <c r="O124" s="66" t="s">
        <v>1378</v>
      </c>
      <c r="P124" s="600" t="s">
        <v>2626</v>
      </c>
      <c r="Q124" s="364">
        <v>-46274.699238000016</v>
      </c>
      <c r="R124" t="s">
        <v>2580</v>
      </c>
      <c r="S124" s="250"/>
      <c r="T124" s="159">
        <f t="shared" si="27"/>
        <v>0</v>
      </c>
      <c r="U124" s="250"/>
      <c r="V124" s="415">
        <v>118</v>
      </c>
      <c r="W124" t="s">
        <v>1378</v>
      </c>
      <c r="X124" s="600" t="s">
        <v>2626</v>
      </c>
      <c r="Y124" s="364">
        <v>-20034.877979999994</v>
      </c>
      <c r="Z124" s="364">
        <v>0</v>
      </c>
      <c r="AA124" s="369">
        <v>-120658.144875</v>
      </c>
      <c r="AB124" s="505">
        <v>-114390.428686</v>
      </c>
      <c r="AC124" s="350">
        <f t="shared" si="38"/>
        <v>-255083.45154099999</v>
      </c>
      <c r="AG124" s="159">
        <f t="shared" si="39"/>
        <v>0</v>
      </c>
      <c r="AI124" s="442" t="s">
        <v>1378</v>
      </c>
      <c r="AJ124" s="600" t="s">
        <v>2626</v>
      </c>
      <c r="AK124" s="364">
        <v>0</v>
      </c>
      <c r="AL124" s="364">
        <v>0</v>
      </c>
      <c r="AM124" s="369">
        <v>-120658.144875</v>
      </c>
      <c r="AN124" s="505">
        <v>-114390.428686</v>
      </c>
      <c r="AO124" s="448">
        <v>-142211.74285499999</v>
      </c>
      <c r="AP124" s="448"/>
      <c r="AQ124" s="438"/>
      <c r="AR124" s="449">
        <f t="shared" si="31"/>
        <v>-235048.573561</v>
      </c>
      <c r="AS124" s="438"/>
      <c r="AT124" s="438"/>
      <c r="AU124" s="364">
        <v>0</v>
      </c>
      <c r="AV124" s="369">
        <v>-120658.144875</v>
      </c>
      <c r="AW124" s="505">
        <v>-114390.428686</v>
      </c>
      <c r="AX124" s="452">
        <f t="shared" si="23"/>
        <v>-235048.573561</v>
      </c>
      <c r="AY124" s="250">
        <f t="shared" si="29"/>
        <v>0</v>
      </c>
      <c r="AZ124" s="439"/>
      <c r="BA124" s="582">
        <v>-46274.699238000016</v>
      </c>
      <c r="BB124" s="462">
        <f t="shared" si="24"/>
        <v>-281323.27279900003</v>
      </c>
      <c r="BC124" s="463">
        <f t="shared" si="37"/>
        <v>0</v>
      </c>
      <c r="BD124" s="431"/>
      <c r="BE124" s="435">
        <f t="shared" si="36"/>
        <v>0</v>
      </c>
    </row>
    <row r="125" spans="1:57" ht="15">
      <c r="A125" s="415">
        <v>119</v>
      </c>
      <c r="B125" s="415">
        <v>111</v>
      </c>
      <c r="C125" t="s">
        <v>364</v>
      </c>
      <c r="D125" t="s">
        <v>920</v>
      </c>
      <c r="E125" s="364">
        <v>-918099.25197771378</v>
      </c>
      <c r="F125" s="364">
        <v>-1198436.5395777095</v>
      </c>
      <c r="G125" s="369">
        <v>-689455.69498999789</v>
      </c>
      <c r="H125" s="364">
        <v>-2257608.4348165151</v>
      </c>
      <c r="I125" s="350">
        <f t="shared" si="18"/>
        <v>-5063599.9213619363</v>
      </c>
      <c r="K125" s="66">
        <f t="shared" si="19"/>
        <v>0</v>
      </c>
      <c r="L125" s="66"/>
      <c r="M125" s="415">
        <v>119</v>
      </c>
      <c r="N125" s="415">
        <v>111</v>
      </c>
      <c r="O125" s="66" t="s">
        <v>364</v>
      </c>
      <c r="P125" t="s">
        <v>920</v>
      </c>
      <c r="Q125" s="364">
        <v>-2257608.4348165151</v>
      </c>
      <c r="R125" t="s">
        <v>2580</v>
      </c>
      <c r="S125" s="250"/>
      <c r="T125" s="159">
        <f t="shared" si="27"/>
        <v>0</v>
      </c>
      <c r="U125" s="250"/>
      <c r="V125" s="415">
        <v>119</v>
      </c>
      <c r="W125" t="s">
        <v>364</v>
      </c>
      <c r="X125" t="s">
        <v>920</v>
      </c>
      <c r="Y125" s="364">
        <v>-2170971.6339159952</v>
      </c>
      <c r="Z125" s="364">
        <v>-918099.25197771378</v>
      </c>
      <c r="AA125" s="369">
        <v>-1198436.5395777095</v>
      </c>
      <c r="AB125" s="505">
        <v>-689455.69498999789</v>
      </c>
      <c r="AC125" s="350">
        <f t="shared" si="38"/>
        <v>-4976963.1204614164</v>
      </c>
      <c r="AG125" s="159">
        <f t="shared" si="39"/>
        <v>0</v>
      </c>
      <c r="AI125" s="442" t="s">
        <v>364</v>
      </c>
      <c r="AJ125" t="s">
        <v>920</v>
      </c>
      <c r="AK125" s="364">
        <v>0</v>
      </c>
      <c r="AL125" s="364">
        <v>-918099.25197771378</v>
      </c>
      <c r="AM125" s="369">
        <v>-1198436.5395777095</v>
      </c>
      <c r="AN125" s="505">
        <v>-689455.69498999789</v>
      </c>
      <c r="AO125" s="448">
        <v>-4287507.4254714185</v>
      </c>
      <c r="AP125" s="448"/>
      <c r="AQ125" s="438"/>
      <c r="AR125" s="449">
        <f t="shared" ref="AR125:AR156" si="40">SUM(AL125:AN125)</f>
        <v>-2805991.4865454212</v>
      </c>
      <c r="AS125" s="438"/>
      <c r="AT125" s="438"/>
      <c r="AU125" s="364">
        <v>-918099.25197771378</v>
      </c>
      <c r="AV125" s="369">
        <v>-1198436.5395777095</v>
      </c>
      <c r="AW125" s="505">
        <v>-689455.69498999789</v>
      </c>
      <c r="AX125" s="452">
        <f t="shared" si="23"/>
        <v>-2805991.4865454212</v>
      </c>
      <c r="AY125" s="250">
        <f t="shared" si="29"/>
        <v>0</v>
      </c>
      <c r="AZ125" s="439"/>
      <c r="BA125" s="582">
        <v>-2257608.4348165151</v>
      </c>
      <c r="BB125" s="462">
        <f t="shared" si="24"/>
        <v>-5063599.9213619363</v>
      </c>
      <c r="BC125" s="463">
        <f t="shared" si="37"/>
        <v>0</v>
      </c>
      <c r="BD125" s="431"/>
      <c r="BE125" s="435">
        <f t="shared" si="36"/>
        <v>0</v>
      </c>
    </row>
    <row r="126" spans="1:57" ht="15">
      <c r="A126" s="415">
        <v>120</v>
      </c>
      <c r="B126" s="415">
        <v>63</v>
      </c>
      <c r="C126" t="s">
        <v>273</v>
      </c>
      <c r="D126" t="s">
        <v>876</v>
      </c>
      <c r="E126" s="364">
        <v>-48998.472947999995</v>
      </c>
      <c r="F126" s="364">
        <v>-43618.069631999984</v>
      </c>
      <c r="G126" s="369">
        <v>-25271.291759999993</v>
      </c>
      <c r="H126" s="364">
        <v>-103364.00183000004</v>
      </c>
      <c r="I126" s="350">
        <f t="shared" si="18"/>
        <v>-221251.83617000002</v>
      </c>
      <c r="K126" s="66">
        <f t="shared" si="19"/>
        <v>0</v>
      </c>
      <c r="L126" s="66"/>
      <c r="M126" s="415">
        <v>120</v>
      </c>
      <c r="N126" s="415">
        <v>63</v>
      </c>
      <c r="O126" s="66" t="s">
        <v>273</v>
      </c>
      <c r="P126" t="s">
        <v>876</v>
      </c>
      <c r="Q126" s="364">
        <v>-103364.00183000004</v>
      </c>
      <c r="R126" t="s">
        <v>2580</v>
      </c>
      <c r="S126" s="250"/>
      <c r="T126" s="159">
        <f t="shared" si="27"/>
        <v>0</v>
      </c>
      <c r="U126" s="250"/>
      <c r="V126" s="415">
        <v>120</v>
      </c>
      <c r="W126" t="s">
        <v>273</v>
      </c>
      <c r="X126" t="s">
        <v>876</v>
      </c>
      <c r="Y126" s="364">
        <v>-52751.261396000002</v>
      </c>
      <c r="Z126" s="364">
        <v>-48998.472947999995</v>
      </c>
      <c r="AA126" s="369">
        <v>-43618.069631999984</v>
      </c>
      <c r="AB126" s="505">
        <v>-25271.291759999993</v>
      </c>
      <c r="AC126" s="350">
        <f t="shared" si="38"/>
        <v>-170639.09573599999</v>
      </c>
      <c r="AG126" s="159">
        <f t="shared" si="39"/>
        <v>0</v>
      </c>
      <c r="AI126" s="442" t="s">
        <v>273</v>
      </c>
      <c r="AJ126" t="s">
        <v>876</v>
      </c>
      <c r="AK126" s="364">
        <v>0</v>
      </c>
      <c r="AL126" s="364">
        <v>-48998.472947999995</v>
      </c>
      <c r="AM126" s="369">
        <v>-43618.069631999984</v>
      </c>
      <c r="AN126" s="505">
        <v>-25271.291759999993</v>
      </c>
      <c r="AO126" s="448">
        <v>-192403.45397600002</v>
      </c>
      <c r="AP126" s="448"/>
      <c r="AQ126" s="438"/>
      <c r="AR126" s="449">
        <f t="shared" si="40"/>
        <v>-117887.83433999997</v>
      </c>
      <c r="AS126" s="438"/>
      <c r="AT126" s="438"/>
      <c r="AU126" s="364">
        <v>-48998.472947999995</v>
      </c>
      <c r="AV126" s="369">
        <v>-43618.069631999984</v>
      </c>
      <c r="AW126" s="505">
        <v>-25271.291759999993</v>
      </c>
      <c r="AX126" s="452">
        <f t="shared" si="23"/>
        <v>-117887.83433999997</v>
      </c>
      <c r="AY126" s="250">
        <f t="shared" si="29"/>
        <v>0</v>
      </c>
      <c r="AZ126" s="439"/>
      <c r="BA126" s="582">
        <v>-103364.00183000004</v>
      </c>
      <c r="BB126" s="462">
        <f t="shared" si="24"/>
        <v>-221251.83617000002</v>
      </c>
      <c r="BC126" s="463">
        <f t="shared" si="37"/>
        <v>0</v>
      </c>
      <c r="BD126" s="431"/>
      <c r="BE126" s="435">
        <f t="shared" si="36"/>
        <v>0</v>
      </c>
    </row>
    <row r="127" spans="1:57" ht="15">
      <c r="A127" s="415">
        <v>121</v>
      </c>
      <c r="B127" s="415">
        <v>46</v>
      </c>
      <c r="C127" t="s">
        <v>239</v>
      </c>
      <c r="D127" t="s">
        <v>860</v>
      </c>
      <c r="E127" s="364">
        <v>-60012.227355000097</v>
      </c>
      <c r="F127" s="364">
        <v>-147135.84143800003</v>
      </c>
      <c r="G127" s="369">
        <v>-260798.46271400002</v>
      </c>
      <c r="H127" s="364">
        <v>-215436.84399500012</v>
      </c>
      <c r="I127" s="350">
        <f t="shared" si="18"/>
        <v>-683383.37550200033</v>
      </c>
      <c r="K127" s="66">
        <f t="shared" si="19"/>
        <v>0</v>
      </c>
      <c r="L127" s="66"/>
      <c r="M127" s="415">
        <v>121</v>
      </c>
      <c r="N127" s="415">
        <v>46</v>
      </c>
      <c r="O127" s="66" t="s">
        <v>239</v>
      </c>
      <c r="P127" t="s">
        <v>860</v>
      </c>
      <c r="Q127" s="364">
        <v>-215436.84399500012</v>
      </c>
      <c r="R127" t="s">
        <v>2580</v>
      </c>
      <c r="S127" s="250"/>
      <c r="T127" s="159">
        <f t="shared" si="27"/>
        <v>0</v>
      </c>
      <c r="U127" s="250"/>
      <c r="V127" s="415">
        <v>121</v>
      </c>
      <c r="W127" t="s">
        <v>239</v>
      </c>
      <c r="X127" t="s">
        <v>860</v>
      </c>
      <c r="Y127" s="364">
        <v>-85085.197545000046</v>
      </c>
      <c r="Z127" s="364">
        <v>-60012.227355000097</v>
      </c>
      <c r="AA127" s="369">
        <v>-147135.84143800003</v>
      </c>
      <c r="AB127" s="505">
        <v>-260798.46271400002</v>
      </c>
      <c r="AC127" s="350">
        <f t="shared" si="38"/>
        <v>-553031.72905200021</v>
      </c>
      <c r="AG127" s="159">
        <f t="shared" si="39"/>
        <v>0</v>
      </c>
      <c r="AI127" s="442" t="s">
        <v>239</v>
      </c>
      <c r="AJ127" t="s">
        <v>860</v>
      </c>
      <c r="AK127" s="364">
        <v>0</v>
      </c>
      <c r="AL127" s="364">
        <v>-60012.227355000097</v>
      </c>
      <c r="AM127" s="369">
        <v>-147135.84143800003</v>
      </c>
      <c r="AN127" s="505">
        <v>-260798.46271400002</v>
      </c>
      <c r="AO127" s="448">
        <v>-357732.22633800015</v>
      </c>
      <c r="AP127" s="448"/>
      <c r="AQ127" s="438"/>
      <c r="AR127" s="449">
        <f t="shared" si="40"/>
        <v>-467946.53150700015</v>
      </c>
      <c r="AS127" s="438"/>
      <c r="AT127" s="438"/>
      <c r="AU127" s="364">
        <v>-60012.227355000097</v>
      </c>
      <c r="AV127" s="369">
        <v>-147135.84143800003</v>
      </c>
      <c r="AW127" s="505">
        <v>-260798.46271400002</v>
      </c>
      <c r="AX127" s="452">
        <f t="shared" si="23"/>
        <v>-467946.53150700015</v>
      </c>
      <c r="AY127" s="250">
        <f t="shared" si="29"/>
        <v>0</v>
      </c>
      <c r="AZ127" s="439"/>
      <c r="BA127" s="582">
        <v>-215436.84399500012</v>
      </c>
      <c r="BB127" s="462">
        <f t="shared" si="24"/>
        <v>-683383.37550200033</v>
      </c>
      <c r="BC127" s="463">
        <f t="shared" si="37"/>
        <v>0</v>
      </c>
      <c r="BD127" s="431"/>
      <c r="BE127" s="435">
        <f t="shared" si="36"/>
        <v>0</v>
      </c>
    </row>
    <row r="128" spans="1:57" ht="15">
      <c r="A128" s="415">
        <v>122</v>
      </c>
      <c r="B128" s="415">
        <v>55</v>
      </c>
      <c r="C128" t="s">
        <v>257</v>
      </c>
      <c r="D128" t="s">
        <v>869</v>
      </c>
      <c r="E128" s="364">
        <v>-73331.968751000008</v>
      </c>
      <c r="F128" s="364">
        <v>-49834.570235000007</v>
      </c>
      <c r="G128" s="369">
        <v>-105142.37106999999</v>
      </c>
      <c r="H128" s="364">
        <v>-65751.627088000008</v>
      </c>
      <c r="I128" s="350">
        <f t="shared" si="18"/>
        <v>-294060.537144</v>
      </c>
      <c r="K128" s="66">
        <f t="shared" si="19"/>
        <v>0</v>
      </c>
      <c r="L128" s="66"/>
      <c r="M128" s="415">
        <v>122</v>
      </c>
      <c r="N128" s="415">
        <v>55</v>
      </c>
      <c r="O128" s="66" t="s">
        <v>257</v>
      </c>
      <c r="P128" t="s">
        <v>869</v>
      </c>
      <c r="Q128" s="364">
        <v>-65751.627088000008</v>
      </c>
      <c r="R128" t="s">
        <v>2580</v>
      </c>
      <c r="S128" s="250"/>
      <c r="T128" s="159">
        <f t="shared" si="27"/>
        <v>0</v>
      </c>
      <c r="U128" s="250"/>
      <c r="V128" s="415">
        <v>122</v>
      </c>
      <c r="W128" t="s">
        <v>257</v>
      </c>
      <c r="X128" t="s">
        <v>869</v>
      </c>
      <c r="Y128" s="364">
        <v>-72719.312998000009</v>
      </c>
      <c r="Z128" s="364">
        <v>-73331.968751000008</v>
      </c>
      <c r="AA128" s="369">
        <v>-49834.570235000007</v>
      </c>
      <c r="AB128" s="505">
        <v>-105142.37106999999</v>
      </c>
      <c r="AC128" s="350">
        <f t="shared" si="38"/>
        <v>-301028.223054</v>
      </c>
      <c r="AG128" s="159">
        <f t="shared" si="39"/>
        <v>0</v>
      </c>
      <c r="AI128" s="442" t="s">
        <v>257</v>
      </c>
      <c r="AJ128" t="s">
        <v>869</v>
      </c>
      <c r="AK128" s="364">
        <v>0</v>
      </c>
      <c r="AL128" s="364">
        <v>-73331.968751000008</v>
      </c>
      <c r="AM128" s="369">
        <v>-49834.570235000007</v>
      </c>
      <c r="AN128" s="505">
        <v>-105142.37106999999</v>
      </c>
      <c r="AO128" s="448">
        <v>-282391.05198400002</v>
      </c>
      <c r="AP128" s="448"/>
      <c r="AQ128" s="438"/>
      <c r="AR128" s="449">
        <f t="shared" si="40"/>
        <v>-228308.91005599999</v>
      </c>
      <c r="AS128" s="438"/>
      <c r="AT128" s="438"/>
      <c r="AU128" s="364">
        <v>-73331.968751000008</v>
      </c>
      <c r="AV128" s="369">
        <v>-49834.570235000007</v>
      </c>
      <c r="AW128" s="505">
        <v>-105142.37106999999</v>
      </c>
      <c r="AX128" s="452">
        <f t="shared" si="23"/>
        <v>-228308.91005599999</v>
      </c>
      <c r="AY128" s="250">
        <f t="shared" si="29"/>
        <v>0</v>
      </c>
      <c r="AZ128" s="439"/>
      <c r="BA128" s="582">
        <v>-65751.627088000008</v>
      </c>
      <c r="BB128" s="462">
        <f t="shared" si="24"/>
        <v>-294060.537144</v>
      </c>
      <c r="BC128" s="463">
        <f t="shared" si="37"/>
        <v>0</v>
      </c>
      <c r="BD128" s="431"/>
      <c r="BE128" s="435">
        <f t="shared" si="36"/>
        <v>0</v>
      </c>
    </row>
    <row r="129" spans="1:57" ht="15">
      <c r="A129" s="415">
        <v>123</v>
      </c>
      <c r="B129" s="415">
        <v>48</v>
      </c>
      <c r="C129" t="s">
        <v>243</v>
      </c>
      <c r="D129" t="s">
        <v>862</v>
      </c>
      <c r="E129" s="364">
        <v>-126757.00728404755</v>
      </c>
      <c r="F129" s="364">
        <v>-207582.31249369332</v>
      </c>
      <c r="G129" s="369">
        <v>-352593.12364799995</v>
      </c>
      <c r="H129" s="364">
        <v>-540244.14364884514</v>
      </c>
      <c r="I129" s="350">
        <f t="shared" si="18"/>
        <v>-1227176.587074586</v>
      </c>
      <c r="K129" s="66">
        <f t="shared" si="19"/>
        <v>0</v>
      </c>
      <c r="L129" s="66"/>
      <c r="M129" s="415">
        <v>123</v>
      </c>
      <c r="N129" s="415">
        <v>48</v>
      </c>
      <c r="O129" s="66" t="s">
        <v>243</v>
      </c>
      <c r="P129" t="s">
        <v>862</v>
      </c>
      <c r="Q129" s="364">
        <v>-540244.14364884514</v>
      </c>
      <c r="R129" t="s">
        <v>2580</v>
      </c>
      <c r="S129" s="250"/>
      <c r="T129" s="159">
        <f t="shared" si="27"/>
        <v>0</v>
      </c>
      <c r="U129" s="250"/>
      <c r="V129" s="415">
        <v>123</v>
      </c>
      <c r="W129" t="s">
        <v>243</v>
      </c>
      <c r="X129" t="s">
        <v>862</v>
      </c>
      <c r="Y129" s="364">
        <v>-643169.5267759813</v>
      </c>
      <c r="Z129" s="364">
        <v>-126757.00728404755</v>
      </c>
      <c r="AA129" s="369">
        <v>-207582.31249369332</v>
      </c>
      <c r="AB129" s="505">
        <v>-352593.12364799995</v>
      </c>
      <c r="AC129" s="350">
        <f t="shared" si="38"/>
        <v>-1330101.9702017221</v>
      </c>
      <c r="AG129" s="159">
        <f t="shared" si="39"/>
        <v>0</v>
      </c>
      <c r="AI129" s="442" t="s">
        <v>243</v>
      </c>
      <c r="AJ129" t="s">
        <v>862</v>
      </c>
      <c r="AK129" s="364">
        <v>0</v>
      </c>
      <c r="AL129" s="364">
        <v>-126757.00728404755</v>
      </c>
      <c r="AM129" s="369">
        <v>-207582.31249369332</v>
      </c>
      <c r="AN129" s="505">
        <v>-352593.12364799995</v>
      </c>
      <c r="AO129" s="448">
        <v>-1229237.8165537221</v>
      </c>
      <c r="AP129" s="448"/>
      <c r="AQ129" s="438"/>
      <c r="AR129" s="449">
        <f t="shared" si="40"/>
        <v>-686932.44342574081</v>
      </c>
      <c r="AS129" s="438"/>
      <c r="AT129" s="438"/>
      <c r="AU129" s="364">
        <v>-126757.00728404755</v>
      </c>
      <c r="AV129" s="369">
        <v>-207582.31249369332</v>
      </c>
      <c r="AW129" s="505">
        <v>-352593.12364799995</v>
      </c>
      <c r="AX129" s="452">
        <f t="shared" si="23"/>
        <v>-686932.44342574081</v>
      </c>
      <c r="AY129" s="250">
        <f t="shared" si="29"/>
        <v>0</v>
      </c>
      <c r="AZ129" s="439"/>
      <c r="BA129" s="582">
        <v>-540244.14364884514</v>
      </c>
      <c r="BB129" s="462">
        <f t="shared" si="24"/>
        <v>-1227176.587074586</v>
      </c>
      <c r="BC129" s="463">
        <f t="shared" si="37"/>
        <v>0</v>
      </c>
      <c r="BD129" s="431"/>
      <c r="BE129" s="435">
        <f t="shared" si="36"/>
        <v>0</v>
      </c>
    </row>
    <row r="130" spans="1:57" ht="15">
      <c r="A130" s="415">
        <v>124</v>
      </c>
      <c r="B130" s="415">
        <v>8</v>
      </c>
      <c r="C130" t="s">
        <v>177</v>
      </c>
      <c r="D130" t="s">
        <v>833</v>
      </c>
      <c r="E130" s="364">
        <v>1464100.16</v>
      </c>
      <c r="F130" s="364">
        <v>1460532.8383244043</v>
      </c>
      <c r="G130" s="369">
        <v>1166474.2386249993</v>
      </c>
      <c r="H130" s="364">
        <v>697843.74184077792</v>
      </c>
      <c r="I130" s="350">
        <f t="shared" si="18"/>
        <v>4788950.9787901817</v>
      </c>
      <c r="K130" s="66">
        <f t="shared" si="19"/>
        <v>0</v>
      </c>
      <c r="L130" s="66"/>
      <c r="M130" s="415">
        <v>124</v>
      </c>
      <c r="N130" s="415">
        <v>8</v>
      </c>
      <c r="O130" s="66" t="s">
        <v>177</v>
      </c>
      <c r="P130" t="s">
        <v>833</v>
      </c>
      <c r="Q130" s="364">
        <v>697843.74184077792</v>
      </c>
      <c r="R130" t="s">
        <v>2580</v>
      </c>
      <c r="S130" s="250"/>
      <c r="T130" s="159">
        <f t="shared" si="27"/>
        <v>0</v>
      </c>
      <c r="U130" s="250"/>
      <c r="V130" s="415">
        <v>124</v>
      </c>
      <c r="W130" t="s">
        <v>177</v>
      </c>
      <c r="X130" t="s">
        <v>833</v>
      </c>
      <c r="Y130" s="364">
        <v>-514059.97149599809</v>
      </c>
      <c r="Z130" s="364">
        <v>1464100.16</v>
      </c>
      <c r="AA130" s="369">
        <v>1460532.8383244043</v>
      </c>
      <c r="AB130" s="505">
        <v>1166474.2386249993</v>
      </c>
      <c r="AC130" s="350">
        <f t="shared" si="38"/>
        <v>3577047.2654534057</v>
      </c>
      <c r="AG130" s="159">
        <f t="shared" si="39"/>
        <v>0</v>
      </c>
      <c r="AI130" s="442" t="s">
        <v>177</v>
      </c>
      <c r="AJ130" t="s">
        <v>833</v>
      </c>
      <c r="AK130" s="364">
        <v>0</v>
      </c>
      <c r="AL130" s="364">
        <v>1464100.16</v>
      </c>
      <c r="AM130" s="369">
        <v>1460532.8383244043</v>
      </c>
      <c r="AN130" s="505">
        <v>1166474.2386249993</v>
      </c>
      <c r="AO130" s="448">
        <v>2410573.0262675229</v>
      </c>
      <c r="AP130" s="450">
        <f>+AM130+AK130</f>
        <v>1460532.8383244043</v>
      </c>
      <c r="AQ130" s="438"/>
      <c r="AR130" s="449">
        <f t="shared" si="40"/>
        <v>4091107.2369494038</v>
      </c>
      <c r="AS130" s="438"/>
      <c r="AT130" s="438"/>
      <c r="AU130" s="364">
        <v>1464100.16</v>
      </c>
      <c r="AV130" s="369">
        <v>1460532.8383244043</v>
      </c>
      <c r="AW130" s="505">
        <v>1166474.2386249993</v>
      </c>
      <c r="AX130" s="452">
        <f t="shared" si="23"/>
        <v>4091107.2369494038</v>
      </c>
      <c r="AY130" s="250">
        <f t="shared" si="29"/>
        <v>0</v>
      </c>
      <c r="AZ130" s="439"/>
      <c r="BA130" s="582">
        <v>697843.74184077792</v>
      </c>
      <c r="BB130" s="462">
        <f t="shared" si="24"/>
        <v>4788950.9787901817</v>
      </c>
      <c r="BC130" s="463">
        <f t="shared" si="37"/>
        <v>0</v>
      </c>
      <c r="BD130" s="431"/>
      <c r="BE130" s="435">
        <f t="shared" si="36"/>
        <v>0</v>
      </c>
    </row>
    <row r="131" spans="1:57" ht="15" customHeight="1">
      <c r="A131" s="415">
        <v>125</v>
      </c>
      <c r="B131" s="415">
        <v>114</v>
      </c>
      <c r="C131" t="s">
        <v>370</v>
      </c>
      <c r="D131" t="s">
        <v>923</v>
      </c>
      <c r="E131" s="364">
        <v>3886776.9977785312</v>
      </c>
      <c r="F131" s="364">
        <v>-1547861.0024221239</v>
      </c>
      <c r="G131" s="369">
        <v>-516938.01674799807</v>
      </c>
      <c r="H131" s="364">
        <v>-916037.33644366637</v>
      </c>
      <c r="I131" s="350">
        <f t="shared" si="18"/>
        <v>905940.64216474257</v>
      </c>
      <c r="K131" s="66">
        <f t="shared" si="19"/>
        <v>0</v>
      </c>
      <c r="L131" s="66"/>
      <c r="M131" s="415">
        <v>125</v>
      </c>
      <c r="N131" s="415">
        <v>114</v>
      </c>
      <c r="O131" s="66" t="s">
        <v>370</v>
      </c>
      <c r="P131" t="s">
        <v>923</v>
      </c>
      <c r="Q131" s="364">
        <v>-916037.33644366637</v>
      </c>
      <c r="R131" t="s">
        <v>2580</v>
      </c>
      <c r="S131" s="250"/>
      <c r="T131" s="159">
        <f t="shared" si="27"/>
        <v>0</v>
      </c>
      <c r="U131" s="250"/>
      <c r="V131" s="415">
        <v>125</v>
      </c>
      <c r="W131" t="s">
        <v>370</v>
      </c>
      <c r="X131" t="s">
        <v>923</v>
      </c>
      <c r="Y131" s="364">
        <v>2461262.8877007179</v>
      </c>
      <c r="Z131" s="364">
        <v>1425514.1100778133</v>
      </c>
      <c r="AA131" s="369">
        <v>-1547861.0024221239</v>
      </c>
      <c r="AB131" s="505">
        <v>-516938.01674799807</v>
      </c>
      <c r="AC131" s="350">
        <f t="shared" si="38"/>
        <v>1821977.9786084089</v>
      </c>
      <c r="AG131" s="159">
        <f t="shared" si="39"/>
        <v>0</v>
      </c>
      <c r="AI131" s="442" t="s">
        <v>370</v>
      </c>
      <c r="AJ131" t="s">
        <v>923</v>
      </c>
      <c r="AK131" s="364">
        <v>0</v>
      </c>
      <c r="AL131" s="364">
        <v>3886776.9977785312</v>
      </c>
      <c r="AM131" s="369">
        <v>-1547861.0024221239</v>
      </c>
      <c r="AN131" s="505">
        <v>-516938.01674799807</v>
      </c>
      <c r="AO131" s="448">
        <v>2338915.995356407</v>
      </c>
      <c r="AP131" s="448"/>
      <c r="AQ131" s="438"/>
      <c r="AR131" s="449">
        <f t="shared" si="40"/>
        <v>1821977.9786084089</v>
      </c>
      <c r="AS131" s="438"/>
      <c r="AT131" s="438"/>
      <c r="AU131" s="364">
        <v>3886776.9977785312</v>
      </c>
      <c r="AV131" s="369">
        <v>-1547861.0024221239</v>
      </c>
      <c r="AW131" s="505">
        <v>-516938.01674799807</v>
      </c>
      <c r="AX131" s="452">
        <f t="shared" si="23"/>
        <v>1821977.9786084089</v>
      </c>
      <c r="AY131" s="250">
        <f t="shared" si="29"/>
        <v>0</v>
      </c>
      <c r="AZ131" s="439"/>
      <c r="BA131" s="582">
        <v>-916037.33644366637</v>
      </c>
      <c r="BB131" s="462">
        <f t="shared" si="24"/>
        <v>905940.64216474257</v>
      </c>
      <c r="BC131" s="463">
        <f t="shared" si="37"/>
        <v>0</v>
      </c>
      <c r="BD131" s="431"/>
      <c r="BE131" s="435">
        <f t="shared" si="36"/>
        <v>0</v>
      </c>
    </row>
    <row r="132" spans="1:57" ht="15">
      <c r="A132" s="415">
        <v>126</v>
      </c>
      <c r="B132" s="415">
        <v>273</v>
      </c>
      <c r="C132" t="s">
        <v>638</v>
      </c>
      <c r="D132" t="s">
        <v>1036</v>
      </c>
      <c r="E132" s="364">
        <v>-74683.690240586642</v>
      </c>
      <c r="F132" s="364">
        <v>-38543.608959522709</v>
      </c>
      <c r="G132" s="369">
        <v>-120336.1192529999</v>
      </c>
      <c r="H132" s="364">
        <v>-183563.61718000006</v>
      </c>
      <c r="I132" s="350">
        <f t="shared" si="18"/>
        <v>-417127.03563310928</v>
      </c>
      <c r="K132" s="66">
        <f t="shared" si="19"/>
        <v>0</v>
      </c>
      <c r="L132" s="66"/>
      <c r="M132" s="415">
        <v>126</v>
      </c>
      <c r="N132" s="415">
        <v>273</v>
      </c>
      <c r="O132" s="66" t="s">
        <v>638</v>
      </c>
      <c r="P132" t="s">
        <v>1036</v>
      </c>
      <c r="Q132" s="364">
        <v>-183563.61718000006</v>
      </c>
      <c r="R132" t="s">
        <v>2580</v>
      </c>
      <c r="S132" s="250"/>
      <c r="T132" s="159">
        <f t="shared" si="27"/>
        <v>0</v>
      </c>
      <c r="U132" s="250"/>
      <c r="V132" s="415">
        <v>126</v>
      </c>
      <c r="W132" t="s">
        <v>638</v>
      </c>
      <c r="X132" t="s">
        <v>1036</v>
      </c>
      <c r="Y132" s="364">
        <v>-73647.599533660672</v>
      </c>
      <c r="Z132" s="364">
        <v>-74683.690240586642</v>
      </c>
      <c r="AA132" s="369">
        <v>-38543.608959522709</v>
      </c>
      <c r="AB132" s="505">
        <v>-120336.1192529999</v>
      </c>
      <c r="AC132" s="350">
        <f t="shared" si="38"/>
        <v>-307211.0179867699</v>
      </c>
      <c r="AG132" s="159">
        <f t="shared" si="39"/>
        <v>0</v>
      </c>
      <c r="AI132" s="442" t="s">
        <v>638</v>
      </c>
      <c r="AJ132" t="s">
        <v>1036</v>
      </c>
      <c r="AK132" s="364">
        <v>0</v>
      </c>
      <c r="AL132" s="364">
        <v>-74683.690240586642</v>
      </c>
      <c r="AM132" s="369">
        <v>-38543.608959522709</v>
      </c>
      <c r="AN132" s="505">
        <v>-120336.1192529999</v>
      </c>
      <c r="AO132" s="448">
        <v>-209507.77873377004</v>
      </c>
      <c r="AP132" s="448"/>
      <c r="AQ132" s="438"/>
      <c r="AR132" s="449">
        <f t="shared" si="40"/>
        <v>-233563.41845310925</v>
      </c>
      <c r="AS132" s="438"/>
      <c r="AT132" s="438"/>
      <c r="AU132" s="364">
        <v>-74683.690240586642</v>
      </c>
      <c r="AV132" s="369">
        <v>-38543.608959522709</v>
      </c>
      <c r="AW132" s="505">
        <v>-120336.1192529999</v>
      </c>
      <c r="AX132" s="452">
        <f t="shared" si="23"/>
        <v>-233563.41845310925</v>
      </c>
      <c r="AY132" s="250">
        <f t="shared" si="29"/>
        <v>0</v>
      </c>
      <c r="AZ132" s="439"/>
      <c r="BA132" s="582">
        <v>-183563.61718000006</v>
      </c>
      <c r="BB132" s="462">
        <f t="shared" si="24"/>
        <v>-417127.03563310928</v>
      </c>
      <c r="BC132" s="463">
        <f t="shared" si="37"/>
        <v>0</v>
      </c>
      <c r="BD132" s="431"/>
      <c r="BE132" s="435">
        <f t="shared" ref="BE132:BE187" si="41">+O132-C132</f>
        <v>0</v>
      </c>
    </row>
    <row r="133" spans="1:57" ht="15">
      <c r="A133" s="415">
        <v>127</v>
      </c>
      <c r="B133" s="415">
        <v>10</v>
      </c>
      <c r="C133" t="s">
        <v>181</v>
      </c>
      <c r="D133" t="s">
        <v>1609</v>
      </c>
      <c r="E133" s="364">
        <v>5126.2600349999266</v>
      </c>
      <c r="F133" s="364">
        <v>-159836.59232700005</v>
      </c>
      <c r="G133" s="369">
        <v>-184574.40208000026</v>
      </c>
      <c r="H133" s="364">
        <v>-147663.31285300001</v>
      </c>
      <c r="I133" s="350">
        <f t="shared" si="18"/>
        <v>-486948.04722500039</v>
      </c>
      <c r="K133" s="66">
        <f t="shared" si="19"/>
        <v>0</v>
      </c>
      <c r="L133" s="66"/>
      <c r="M133" s="415">
        <v>127</v>
      </c>
      <c r="N133" s="415">
        <v>10</v>
      </c>
      <c r="O133" s="66" t="s">
        <v>181</v>
      </c>
      <c r="P133" t="s">
        <v>1609</v>
      </c>
      <c r="Q133" s="364">
        <v>-147663.31285300001</v>
      </c>
      <c r="R133" t="s">
        <v>2580</v>
      </c>
      <c r="S133" s="250"/>
      <c r="T133" s="159">
        <f t="shared" si="27"/>
        <v>0</v>
      </c>
      <c r="U133" s="250"/>
      <c r="V133" s="415">
        <v>127</v>
      </c>
      <c r="W133" t="s">
        <v>181</v>
      </c>
      <c r="X133" t="s">
        <v>1609</v>
      </c>
      <c r="Y133" s="364">
        <v>-19041.925214999821</v>
      </c>
      <c r="Z133" s="364">
        <v>5126.2600349999266</v>
      </c>
      <c r="AA133" s="369">
        <v>-159836.59232700005</v>
      </c>
      <c r="AB133" s="505">
        <v>-184574.40208000026</v>
      </c>
      <c r="AC133" s="350">
        <f t="shared" si="38"/>
        <v>-358326.65958700021</v>
      </c>
      <c r="AG133" s="159">
        <f t="shared" si="39"/>
        <v>0</v>
      </c>
      <c r="AI133" s="442" t="s">
        <v>181</v>
      </c>
      <c r="AJ133" t="s">
        <v>1609</v>
      </c>
      <c r="AK133" s="364">
        <v>0</v>
      </c>
      <c r="AL133" s="364">
        <v>5126.2600349999266</v>
      </c>
      <c r="AM133" s="369">
        <v>-159836.59232700005</v>
      </c>
      <c r="AN133" s="505">
        <v>-184574.40208000026</v>
      </c>
      <c r="AO133" s="448">
        <v>-287193.59750699997</v>
      </c>
      <c r="AP133" s="448"/>
      <c r="AQ133" s="438"/>
      <c r="AR133" s="449">
        <f t="shared" si="40"/>
        <v>-339284.73437200038</v>
      </c>
      <c r="AS133" s="438"/>
      <c r="AT133" s="438"/>
      <c r="AU133" s="364">
        <v>5126.2600349999266</v>
      </c>
      <c r="AV133" s="369">
        <v>-159836.59232700005</v>
      </c>
      <c r="AW133" s="505">
        <v>-184574.40208000026</v>
      </c>
      <c r="AX133" s="452">
        <f t="shared" si="23"/>
        <v>-339284.73437200038</v>
      </c>
      <c r="AY133" s="250">
        <f t="shared" si="29"/>
        <v>0</v>
      </c>
      <c r="AZ133" s="439"/>
      <c r="BA133" s="582">
        <v>-147663.31285300001</v>
      </c>
      <c r="BB133" s="462">
        <f t="shared" si="24"/>
        <v>-486948.04722500039</v>
      </c>
      <c r="BC133" s="463">
        <f t="shared" si="37"/>
        <v>0</v>
      </c>
      <c r="BD133" s="431"/>
      <c r="BE133" s="435">
        <f t="shared" si="41"/>
        <v>0</v>
      </c>
    </row>
    <row r="134" spans="1:57" ht="15">
      <c r="A134" s="415">
        <v>128</v>
      </c>
      <c r="B134" s="415">
        <v>138</v>
      </c>
      <c r="C134" t="s">
        <v>392</v>
      </c>
      <c r="D134" t="s">
        <v>932</v>
      </c>
      <c r="E134" s="364">
        <v>0</v>
      </c>
      <c r="F134" s="364">
        <v>-52186.866178000011</v>
      </c>
      <c r="G134" s="369">
        <v>-151439.62629499997</v>
      </c>
      <c r="H134" s="364">
        <v>-90192.960781999922</v>
      </c>
      <c r="I134" s="350">
        <f t="shared" si="18"/>
        <v>-293819.45325499988</v>
      </c>
      <c r="K134" s="66">
        <f t="shared" si="19"/>
        <v>0</v>
      </c>
      <c r="L134" s="66"/>
      <c r="M134" s="415">
        <v>128</v>
      </c>
      <c r="N134" s="415">
        <v>138</v>
      </c>
      <c r="O134" s="66" t="s">
        <v>392</v>
      </c>
      <c r="P134" t="s">
        <v>932</v>
      </c>
      <c r="Q134" s="364">
        <v>-90192.960781999922</v>
      </c>
      <c r="R134" t="s">
        <v>2580</v>
      </c>
      <c r="S134" s="250"/>
      <c r="T134" s="159">
        <f t="shared" si="27"/>
        <v>0</v>
      </c>
      <c r="U134" s="250"/>
      <c r="V134" s="415">
        <v>128</v>
      </c>
      <c r="W134" t="s">
        <v>392</v>
      </c>
      <c r="X134" t="s">
        <v>932</v>
      </c>
      <c r="Y134" s="364">
        <v>0</v>
      </c>
      <c r="Z134" s="364">
        <v>0</v>
      </c>
      <c r="AA134" s="369">
        <v>-52186.866178000011</v>
      </c>
      <c r="AB134" s="505">
        <v>-151439.62629499997</v>
      </c>
      <c r="AC134" s="350">
        <f t="shared" si="38"/>
        <v>-203626.49247299996</v>
      </c>
      <c r="AG134" s="159">
        <f t="shared" si="39"/>
        <v>0</v>
      </c>
      <c r="AI134" s="442" t="s">
        <v>392</v>
      </c>
      <c r="AJ134" t="s">
        <v>932</v>
      </c>
      <c r="AK134" s="364">
        <v>0</v>
      </c>
      <c r="AL134" s="364">
        <v>0</v>
      </c>
      <c r="AM134" s="369">
        <v>-52186.866178000011</v>
      </c>
      <c r="AN134" s="505">
        <v>-151439.62629499997</v>
      </c>
      <c r="AO134" s="448">
        <v>-178870.03617800001</v>
      </c>
      <c r="AP134" s="448"/>
      <c r="AQ134" s="438"/>
      <c r="AR134" s="449">
        <f t="shared" si="40"/>
        <v>-203626.49247299996</v>
      </c>
      <c r="AS134" s="438"/>
      <c r="AT134" s="438"/>
      <c r="AU134" s="364">
        <v>0</v>
      </c>
      <c r="AV134" s="369">
        <v>-52186.866178000011</v>
      </c>
      <c r="AW134" s="505">
        <v>-151439.62629499997</v>
      </c>
      <c r="AX134" s="452">
        <f t="shared" si="23"/>
        <v>-203626.49247299996</v>
      </c>
      <c r="AY134" s="250">
        <f t="shared" si="29"/>
        <v>0</v>
      </c>
      <c r="AZ134" s="439"/>
      <c r="BA134" s="582">
        <v>-90192.960781999922</v>
      </c>
      <c r="BB134" s="462">
        <f t="shared" si="24"/>
        <v>-293819.45325499988</v>
      </c>
      <c r="BC134" s="463">
        <f t="shared" si="37"/>
        <v>0</v>
      </c>
      <c r="BD134" s="431"/>
      <c r="BE134" s="435">
        <f t="shared" si="41"/>
        <v>0</v>
      </c>
    </row>
    <row r="135" spans="1:57" ht="15">
      <c r="A135" s="415">
        <v>129</v>
      </c>
      <c r="B135" s="415">
        <v>145</v>
      </c>
      <c r="C135" t="s">
        <v>406</v>
      </c>
      <c r="D135" t="s">
        <v>407</v>
      </c>
      <c r="E135" s="364">
        <v>-79225.946079999994</v>
      </c>
      <c r="F135" s="364">
        <v>-28852.619999999944</v>
      </c>
      <c r="G135" s="369">
        <v>-47835.834713000033</v>
      </c>
      <c r="H135" s="364">
        <v>-97155.449097999983</v>
      </c>
      <c r="I135" s="350">
        <f t="shared" ref="I135:I198" si="42">SUM(E135:H135)</f>
        <v>-253069.84989099993</v>
      </c>
      <c r="K135" s="66">
        <f t="shared" ref="K135:K198" si="43">+O135-C135</f>
        <v>0</v>
      </c>
      <c r="L135" s="66"/>
      <c r="M135" s="415">
        <v>129</v>
      </c>
      <c r="N135" s="415">
        <v>145</v>
      </c>
      <c r="O135" s="66" t="s">
        <v>406</v>
      </c>
      <c r="P135" t="s">
        <v>407</v>
      </c>
      <c r="Q135" s="364">
        <v>-97155.449097999983</v>
      </c>
      <c r="R135" t="s">
        <v>2580</v>
      </c>
      <c r="S135" s="250"/>
      <c r="T135" s="159">
        <f t="shared" si="27"/>
        <v>0</v>
      </c>
      <c r="U135" s="250"/>
      <c r="V135" s="415">
        <v>129</v>
      </c>
      <c r="W135" t="s">
        <v>406</v>
      </c>
      <c r="X135" t="s">
        <v>407</v>
      </c>
      <c r="Y135" s="364">
        <v>-55435.333620000019</v>
      </c>
      <c r="Z135" s="364">
        <v>-79225.946079999994</v>
      </c>
      <c r="AA135" s="369">
        <v>-28852.619999999944</v>
      </c>
      <c r="AB135" s="505">
        <v>-47835.834713000033</v>
      </c>
      <c r="AC135" s="350">
        <f t="shared" si="38"/>
        <v>-211349.734413</v>
      </c>
      <c r="AG135" s="159">
        <f t="shared" si="39"/>
        <v>0</v>
      </c>
      <c r="AI135" s="442" t="s">
        <v>406</v>
      </c>
      <c r="AJ135" t="s">
        <v>407</v>
      </c>
      <c r="AK135" s="364">
        <v>0</v>
      </c>
      <c r="AL135" s="364">
        <v>-79225.946079999994</v>
      </c>
      <c r="AM135" s="369">
        <v>-28852.619999999944</v>
      </c>
      <c r="AN135" s="505">
        <v>-47835.834713000033</v>
      </c>
      <c r="AO135" s="448">
        <v>-244847.40969999993</v>
      </c>
      <c r="AP135" s="448"/>
      <c r="AQ135" s="438"/>
      <c r="AR135" s="449">
        <f t="shared" si="40"/>
        <v>-155914.40079299995</v>
      </c>
      <c r="AS135" s="438"/>
      <c r="AT135" s="438"/>
      <c r="AU135" s="364">
        <v>-79225.946079999994</v>
      </c>
      <c r="AV135" s="369">
        <v>-28852.619999999944</v>
      </c>
      <c r="AW135" s="505">
        <v>-47835.834713000033</v>
      </c>
      <c r="AX135" s="452">
        <f t="shared" ref="AX135:AX198" si="44">SUM(AU135:AW135)</f>
        <v>-155914.40079299995</v>
      </c>
      <c r="AY135" s="250">
        <f t="shared" si="29"/>
        <v>0</v>
      </c>
      <c r="AZ135" s="439"/>
      <c r="BA135" s="582">
        <v>-97155.449097999983</v>
      </c>
      <c r="BB135" s="462">
        <f t="shared" ref="BB135:BB198" si="45">+BA135+AX135</f>
        <v>-253069.84989099993</v>
      </c>
      <c r="BC135" s="463">
        <f t="shared" si="37"/>
        <v>0</v>
      </c>
      <c r="BD135" s="431"/>
      <c r="BE135" s="435">
        <f t="shared" si="41"/>
        <v>0</v>
      </c>
    </row>
    <row r="136" spans="1:57" ht="15">
      <c r="A136" s="415">
        <v>130</v>
      </c>
      <c r="B136" s="415">
        <v>31</v>
      </c>
      <c r="C136" t="s">
        <v>217</v>
      </c>
      <c r="D136" t="s">
        <v>1553</v>
      </c>
      <c r="E136" s="364">
        <v>0</v>
      </c>
      <c r="F136" s="364">
        <v>-112047.04512600007</v>
      </c>
      <c r="G136" s="369">
        <v>-135661.51593599992</v>
      </c>
      <c r="H136" s="364">
        <v>-177185.056048</v>
      </c>
      <c r="I136" s="350">
        <f t="shared" si="42"/>
        <v>-424893.61710999999</v>
      </c>
      <c r="K136" s="66">
        <f t="shared" si="43"/>
        <v>0</v>
      </c>
      <c r="L136" s="66"/>
      <c r="M136" s="415">
        <v>130</v>
      </c>
      <c r="N136" s="415">
        <v>31</v>
      </c>
      <c r="O136" s="66" t="s">
        <v>217</v>
      </c>
      <c r="P136" t="s">
        <v>1553</v>
      </c>
      <c r="Q136" s="364">
        <v>-177185.056048</v>
      </c>
      <c r="R136" t="s">
        <v>2580</v>
      </c>
      <c r="S136" s="250"/>
      <c r="T136" s="159">
        <f t="shared" ref="T136:T199" si="46">+W136-C136</f>
        <v>0</v>
      </c>
      <c r="U136" s="250"/>
      <c r="V136" s="415">
        <v>130</v>
      </c>
      <c r="W136" t="s">
        <v>217</v>
      </c>
      <c r="X136" t="s">
        <v>1553</v>
      </c>
      <c r="Y136" s="364">
        <v>-320978.99953200005</v>
      </c>
      <c r="Z136" s="364">
        <v>0</v>
      </c>
      <c r="AA136" s="369">
        <v>-112047.04512600007</v>
      </c>
      <c r="AB136" s="505">
        <v>-135661.51593599992</v>
      </c>
      <c r="AC136" s="350">
        <f t="shared" si="38"/>
        <v>-568687.56059400004</v>
      </c>
      <c r="AG136" s="159">
        <f t="shared" si="39"/>
        <v>0</v>
      </c>
      <c r="AI136" s="442" t="s">
        <v>217</v>
      </c>
      <c r="AJ136" t="s">
        <v>1553</v>
      </c>
      <c r="AK136" s="364">
        <v>0</v>
      </c>
      <c r="AL136" s="364">
        <v>0</v>
      </c>
      <c r="AM136" s="369">
        <v>-112047.04512600007</v>
      </c>
      <c r="AN136" s="505">
        <v>-135661.51593599992</v>
      </c>
      <c r="AO136" s="448">
        <v>-640868.96465800016</v>
      </c>
      <c r="AP136" s="448"/>
      <c r="AQ136" s="438"/>
      <c r="AR136" s="449">
        <f t="shared" si="40"/>
        <v>-247708.56106199999</v>
      </c>
      <c r="AS136" s="438"/>
      <c r="AT136" s="438"/>
      <c r="AU136" s="364">
        <v>0</v>
      </c>
      <c r="AV136" s="369">
        <v>-112047.04512600007</v>
      </c>
      <c r="AW136" s="505">
        <v>-135661.51593599992</v>
      </c>
      <c r="AX136" s="452">
        <f t="shared" si="44"/>
        <v>-247708.56106199999</v>
      </c>
      <c r="AY136" s="250">
        <f t="shared" si="29"/>
        <v>0</v>
      </c>
      <c r="AZ136" s="439"/>
      <c r="BA136" s="582">
        <v>-177185.056048</v>
      </c>
      <c r="BB136" s="462">
        <f t="shared" si="45"/>
        <v>-424893.61710999999</v>
      </c>
      <c r="BC136" s="463">
        <f t="shared" si="37"/>
        <v>0</v>
      </c>
      <c r="BD136" s="431"/>
      <c r="BE136" s="435">
        <f t="shared" si="41"/>
        <v>0</v>
      </c>
    </row>
    <row r="137" spans="1:57" ht="15">
      <c r="A137" s="415">
        <v>131</v>
      </c>
      <c r="B137" s="415">
        <v>222</v>
      </c>
      <c r="C137" t="s">
        <v>550</v>
      </c>
      <c r="D137" t="s">
        <v>1000</v>
      </c>
      <c r="E137" s="364">
        <v>-253798.16301999998</v>
      </c>
      <c r="F137" s="364">
        <v>-193825.58964399996</v>
      </c>
      <c r="G137" s="369">
        <v>-133906.41420799989</v>
      </c>
      <c r="H137" s="364">
        <v>-155127.04719999997</v>
      </c>
      <c r="I137" s="350">
        <f t="shared" si="42"/>
        <v>-736657.21407199977</v>
      </c>
      <c r="K137" s="66">
        <f t="shared" si="43"/>
        <v>0</v>
      </c>
      <c r="L137" s="66"/>
      <c r="M137" s="415">
        <v>131</v>
      </c>
      <c r="N137" s="415">
        <v>222</v>
      </c>
      <c r="O137" s="66" t="s">
        <v>550</v>
      </c>
      <c r="P137" t="s">
        <v>1000</v>
      </c>
      <c r="Q137" s="364">
        <v>-155127.04719999997</v>
      </c>
      <c r="R137" t="s">
        <v>2580</v>
      </c>
      <c r="S137" s="250"/>
      <c r="T137" s="159">
        <f t="shared" si="46"/>
        <v>0</v>
      </c>
      <c r="U137" s="250"/>
      <c r="V137" s="415">
        <v>131</v>
      </c>
      <c r="W137" t="s">
        <v>550</v>
      </c>
      <c r="X137" t="s">
        <v>1000</v>
      </c>
      <c r="Y137" s="364">
        <v>-35704.441413999979</v>
      </c>
      <c r="Z137" s="364">
        <v>-253798.16301999998</v>
      </c>
      <c r="AA137" s="369">
        <v>-193825.58964399996</v>
      </c>
      <c r="AB137" s="505">
        <v>-133906.41420799989</v>
      </c>
      <c r="AC137" s="350">
        <f t="shared" si="38"/>
        <v>-617234.60828599986</v>
      </c>
      <c r="AG137" s="159">
        <f t="shared" si="39"/>
        <v>0</v>
      </c>
      <c r="AI137" s="442" t="s">
        <v>550</v>
      </c>
      <c r="AJ137" t="s">
        <v>1000</v>
      </c>
      <c r="AK137" s="364">
        <v>0</v>
      </c>
      <c r="AL137" s="364">
        <v>-253798.16301999998</v>
      </c>
      <c r="AM137" s="369">
        <v>-193825.58964399996</v>
      </c>
      <c r="AN137" s="505">
        <v>-133906.41420799989</v>
      </c>
      <c r="AO137" s="448">
        <v>-784337.73407799983</v>
      </c>
      <c r="AP137" s="448"/>
      <c r="AQ137" s="438"/>
      <c r="AR137" s="449">
        <f t="shared" si="40"/>
        <v>-581530.16687199986</v>
      </c>
      <c r="AS137" s="438"/>
      <c r="AT137" s="438"/>
      <c r="AU137" s="364">
        <v>-253798.16301999998</v>
      </c>
      <c r="AV137" s="369">
        <v>-193825.58964399996</v>
      </c>
      <c r="AW137" s="505">
        <v>-133906.41420799989</v>
      </c>
      <c r="AX137" s="452">
        <f t="shared" si="44"/>
        <v>-581530.16687199986</v>
      </c>
      <c r="AY137" s="250">
        <f t="shared" si="29"/>
        <v>0</v>
      </c>
      <c r="AZ137" s="439"/>
      <c r="BA137" s="582">
        <v>-155127.04719999997</v>
      </c>
      <c r="BB137" s="462">
        <f t="shared" si="45"/>
        <v>-736657.21407199977</v>
      </c>
      <c r="BC137" s="463">
        <f t="shared" si="37"/>
        <v>0</v>
      </c>
      <c r="BD137" s="431"/>
      <c r="BE137" s="435">
        <f t="shared" si="41"/>
        <v>0</v>
      </c>
    </row>
    <row r="138" spans="1:57" ht="15">
      <c r="A138" s="415">
        <v>132</v>
      </c>
      <c r="B138" s="415">
        <v>301</v>
      </c>
      <c r="C138" s="339" t="s">
        <v>685</v>
      </c>
      <c r="D138" s="340" t="s">
        <v>686</v>
      </c>
      <c r="E138" s="372"/>
      <c r="F138" s="363"/>
      <c r="G138" s="369">
        <v>-131497.41867799999</v>
      </c>
      <c r="H138" s="364">
        <v>-121465.51000000001</v>
      </c>
      <c r="I138" s="350">
        <f t="shared" si="42"/>
        <v>-252962.928678</v>
      </c>
      <c r="K138" s="66">
        <f t="shared" si="43"/>
        <v>0</v>
      </c>
      <c r="L138" s="66"/>
      <c r="M138" s="415">
        <v>132</v>
      </c>
      <c r="N138" s="415">
        <v>301</v>
      </c>
      <c r="O138" s="414" t="s">
        <v>685</v>
      </c>
      <c r="P138" s="340" t="s">
        <v>686</v>
      </c>
      <c r="Q138" s="364">
        <v>-121465.51000000001</v>
      </c>
      <c r="R138" t="s">
        <v>2580</v>
      </c>
      <c r="S138" s="250"/>
      <c r="T138" s="159">
        <f t="shared" si="46"/>
        <v>0</v>
      </c>
      <c r="U138" s="250"/>
      <c r="V138" s="415">
        <v>132</v>
      </c>
      <c r="W138" s="339" t="s">
        <v>685</v>
      </c>
      <c r="X138" s="340" t="s">
        <v>686</v>
      </c>
      <c r="Y138" s="372">
        <v>0</v>
      </c>
      <c r="Z138" s="363"/>
      <c r="AA138" s="369"/>
      <c r="AB138" s="505">
        <v>-131497.41867799999</v>
      </c>
      <c r="AC138" s="350">
        <f t="shared" si="38"/>
        <v>-131497.41867799999</v>
      </c>
      <c r="AG138" s="159">
        <f t="shared" si="39"/>
        <v>0</v>
      </c>
      <c r="AI138" s="442" t="s">
        <v>685</v>
      </c>
      <c r="AJ138" s="340" t="s">
        <v>686</v>
      </c>
      <c r="AK138" s="364">
        <v>0</v>
      </c>
      <c r="AL138" s="363"/>
      <c r="AM138" s="369"/>
      <c r="AN138" s="505">
        <v>-131497.41867799999</v>
      </c>
      <c r="AO138" s="448">
        <v>0</v>
      </c>
      <c r="AP138" s="448"/>
      <c r="AQ138" s="438"/>
      <c r="AR138" s="449">
        <f t="shared" si="40"/>
        <v>-131497.41867799999</v>
      </c>
      <c r="AS138" s="438"/>
      <c r="AT138" s="438"/>
      <c r="AU138" s="363"/>
      <c r="AV138" s="369"/>
      <c r="AW138" s="505">
        <v>-131497.41867799999</v>
      </c>
      <c r="AX138" s="452">
        <f t="shared" si="44"/>
        <v>-131497.41867799999</v>
      </c>
      <c r="AY138" s="250">
        <f t="shared" si="29"/>
        <v>0</v>
      </c>
      <c r="AZ138" s="439"/>
      <c r="BA138" s="582">
        <v>-121465.51000000001</v>
      </c>
      <c r="BB138" s="462">
        <f t="shared" si="45"/>
        <v>-252962.928678</v>
      </c>
      <c r="BC138" s="463">
        <f t="shared" si="37"/>
        <v>0</v>
      </c>
      <c r="BD138" s="431"/>
      <c r="BE138" s="435">
        <f t="shared" si="41"/>
        <v>0</v>
      </c>
    </row>
    <row r="139" spans="1:57" ht="15">
      <c r="A139" s="415">
        <v>133</v>
      </c>
      <c r="B139" s="415">
        <v>17</v>
      </c>
      <c r="C139" t="s">
        <v>195</v>
      </c>
      <c r="D139" t="s">
        <v>840</v>
      </c>
      <c r="E139" s="364">
        <v>-77452.386015999946</v>
      </c>
      <c r="F139" s="364">
        <v>-208117.81705599991</v>
      </c>
      <c r="G139" s="369">
        <v>-171193.85223800002</v>
      </c>
      <c r="H139" s="364">
        <v>-201471.50322499988</v>
      </c>
      <c r="I139" s="350">
        <f t="shared" si="42"/>
        <v>-658235.55853499973</v>
      </c>
      <c r="K139" s="66">
        <f t="shared" si="43"/>
        <v>0</v>
      </c>
      <c r="L139" s="66"/>
      <c r="M139" s="415">
        <v>133</v>
      </c>
      <c r="N139" s="415">
        <v>17</v>
      </c>
      <c r="O139" s="66" t="s">
        <v>195</v>
      </c>
      <c r="P139" t="s">
        <v>840</v>
      </c>
      <c r="Q139" s="364">
        <v>-201471.50322499988</v>
      </c>
      <c r="R139" t="s">
        <v>2580</v>
      </c>
      <c r="S139" s="250"/>
      <c r="T139" s="159">
        <f t="shared" si="46"/>
        <v>0</v>
      </c>
      <c r="U139" s="250"/>
      <c r="V139" s="415">
        <v>133</v>
      </c>
      <c r="W139" t="s">
        <v>195</v>
      </c>
      <c r="X139" t="s">
        <v>840</v>
      </c>
      <c r="Y139" s="364">
        <v>-199704.30309800003</v>
      </c>
      <c r="Z139" s="364">
        <v>-77452.386015999946</v>
      </c>
      <c r="AA139" s="369">
        <v>-208117.81705599991</v>
      </c>
      <c r="AB139" s="505">
        <v>-171193.85223800002</v>
      </c>
      <c r="AC139" s="350">
        <f t="shared" si="38"/>
        <v>-656468.35840799985</v>
      </c>
      <c r="AG139" s="159">
        <f t="shared" si="39"/>
        <v>0</v>
      </c>
      <c r="AI139" s="442" t="s">
        <v>195</v>
      </c>
      <c r="AJ139" t="s">
        <v>840</v>
      </c>
      <c r="AK139" s="364">
        <v>0</v>
      </c>
      <c r="AL139" s="364">
        <v>-77452.386015999946</v>
      </c>
      <c r="AM139" s="369">
        <v>-208117.81705599991</v>
      </c>
      <c r="AN139" s="505">
        <v>-171193.85223800002</v>
      </c>
      <c r="AO139" s="448">
        <v>-698944.3261699999</v>
      </c>
      <c r="AP139" s="448"/>
      <c r="AQ139" s="438"/>
      <c r="AR139" s="449">
        <f t="shared" si="40"/>
        <v>-456764.05530999985</v>
      </c>
      <c r="AS139" s="438"/>
      <c r="AT139" s="438"/>
      <c r="AU139" s="364">
        <v>-77452.386015999946</v>
      </c>
      <c r="AV139" s="369">
        <v>-208117.81705599991</v>
      </c>
      <c r="AW139" s="505">
        <v>-171193.85223800002</v>
      </c>
      <c r="AX139" s="452">
        <f t="shared" si="44"/>
        <v>-456764.05530999985</v>
      </c>
      <c r="AY139" s="250">
        <f t="shared" si="29"/>
        <v>0</v>
      </c>
      <c r="AZ139" s="439"/>
      <c r="BA139" s="582">
        <v>-201471.50322499988</v>
      </c>
      <c r="BB139" s="462">
        <f t="shared" si="45"/>
        <v>-658235.55853499973</v>
      </c>
      <c r="BC139" s="463">
        <f t="shared" si="37"/>
        <v>0</v>
      </c>
      <c r="BD139" s="431"/>
      <c r="BE139" s="435">
        <f t="shared" si="41"/>
        <v>0</v>
      </c>
    </row>
    <row r="140" spans="1:57" ht="15">
      <c r="A140" s="415">
        <v>134</v>
      </c>
      <c r="B140" s="415">
        <v>231</v>
      </c>
      <c r="C140" t="s">
        <v>566</v>
      </c>
      <c r="D140" t="s">
        <v>1005</v>
      </c>
      <c r="E140" s="364">
        <v>0</v>
      </c>
      <c r="F140" s="364">
        <v>-1167208.2769294721</v>
      </c>
      <c r="G140" s="369">
        <v>-1052685.1116050007</v>
      </c>
      <c r="H140" s="364">
        <v>-1617157.8808501158</v>
      </c>
      <c r="I140" s="350">
        <f t="shared" si="42"/>
        <v>-3837051.2693845886</v>
      </c>
      <c r="K140" s="66">
        <f t="shared" si="43"/>
        <v>0</v>
      </c>
      <c r="L140" s="66"/>
      <c r="M140" s="415">
        <v>134</v>
      </c>
      <c r="N140" s="415">
        <v>231</v>
      </c>
      <c r="O140" s="66" t="s">
        <v>566</v>
      </c>
      <c r="P140" t="s">
        <v>1005</v>
      </c>
      <c r="Q140" s="364">
        <v>-1617157.8808501158</v>
      </c>
      <c r="R140" t="s">
        <v>2580</v>
      </c>
      <c r="S140" s="250"/>
      <c r="T140" s="159">
        <f t="shared" si="46"/>
        <v>0</v>
      </c>
      <c r="U140" s="250"/>
      <c r="V140" s="415">
        <v>134</v>
      </c>
      <c r="W140" t="s">
        <v>566</v>
      </c>
      <c r="X140" t="s">
        <v>1005</v>
      </c>
      <c r="Y140" s="364">
        <v>0</v>
      </c>
      <c r="Z140" s="364">
        <v>0</v>
      </c>
      <c r="AA140" s="369">
        <v>-1167208.2769294721</v>
      </c>
      <c r="AB140" s="505">
        <v>-1052685.1116050007</v>
      </c>
      <c r="AC140" s="350">
        <f t="shared" si="38"/>
        <v>-2219893.3885344728</v>
      </c>
      <c r="AG140" s="159">
        <f t="shared" si="39"/>
        <v>0</v>
      </c>
      <c r="AI140" s="442" t="s">
        <v>566</v>
      </c>
      <c r="AJ140" t="s">
        <v>1005</v>
      </c>
      <c r="AK140" s="364">
        <v>0</v>
      </c>
      <c r="AL140" s="364">
        <v>0</v>
      </c>
      <c r="AM140" s="369">
        <v>-1167208.2769294721</v>
      </c>
      <c r="AN140" s="505">
        <v>-1052685.1116050007</v>
      </c>
      <c r="AO140" s="448">
        <v>-1347205.436929472</v>
      </c>
      <c r="AP140" s="448"/>
      <c r="AQ140" s="438"/>
      <c r="AR140" s="449">
        <f t="shared" si="40"/>
        <v>-2219893.3885344728</v>
      </c>
      <c r="AS140" s="438"/>
      <c r="AT140" s="438"/>
      <c r="AU140" s="364">
        <v>0</v>
      </c>
      <c r="AV140" s="369">
        <v>-1167208.2769294721</v>
      </c>
      <c r="AW140" s="505">
        <v>-1052685.1116050007</v>
      </c>
      <c r="AX140" s="452">
        <f t="shared" si="44"/>
        <v>-2219893.3885344728</v>
      </c>
      <c r="AY140" s="250">
        <f t="shared" si="29"/>
        <v>0</v>
      </c>
      <c r="AZ140" s="439"/>
      <c r="BA140" s="582">
        <v>-1617157.8808501158</v>
      </c>
      <c r="BB140" s="462">
        <f t="shared" si="45"/>
        <v>-3837051.2693845886</v>
      </c>
      <c r="BC140" s="463">
        <f t="shared" si="37"/>
        <v>0</v>
      </c>
      <c r="BD140" s="431"/>
      <c r="BE140" s="435">
        <f t="shared" si="41"/>
        <v>0</v>
      </c>
    </row>
    <row r="141" spans="1:57" ht="15">
      <c r="A141" s="415">
        <v>135</v>
      </c>
      <c r="B141" s="415">
        <v>113</v>
      </c>
      <c r="C141" t="s">
        <v>368</v>
      </c>
      <c r="D141" t="s">
        <v>922</v>
      </c>
      <c r="E141" s="364">
        <v>0</v>
      </c>
      <c r="F141" s="364">
        <v>826894.11</v>
      </c>
      <c r="G141" s="370">
        <v>-533419.21506099962</v>
      </c>
      <c r="H141" s="364">
        <v>-1088089.6548000593</v>
      </c>
      <c r="I141" s="350">
        <f t="shared" si="42"/>
        <v>-794614.7598610589</v>
      </c>
      <c r="K141" s="66">
        <f t="shared" si="43"/>
        <v>0</v>
      </c>
      <c r="L141" s="66"/>
      <c r="M141" s="415">
        <v>135</v>
      </c>
      <c r="N141" s="415">
        <v>113</v>
      </c>
      <c r="O141" s="66" t="s">
        <v>368</v>
      </c>
      <c r="P141" t="s">
        <v>922</v>
      </c>
      <c r="Q141" s="364">
        <v>-1088089.6548000593</v>
      </c>
      <c r="R141" t="s">
        <v>2580</v>
      </c>
      <c r="S141" s="250"/>
      <c r="T141" s="159">
        <f t="shared" si="46"/>
        <v>0</v>
      </c>
      <c r="U141" s="250"/>
      <c r="V141" s="415">
        <v>135</v>
      </c>
      <c r="W141" t="s">
        <v>368</v>
      </c>
      <c r="X141" t="s">
        <v>922</v>
      </c>
      <c r="Y141" s="364">
        <v>0</v>
      </c>
      <c r="Z141" s="364">
        <v>0</v>
      </c>
      <c r="AA141" s="370">
        <v>826894.11</v>
      </c>
      <c r="AB141" s="505">
        <v>-533419.21506099962</v>
      </c>
      <c r="AC141" s="350">
        <f t="shared" si="38"/>
        <v>293474.89493900037</v>
      </c>
      <c r="AG141" s="159">
        <f t="shared" si="39"/>
        <v>0</v>
      </c>
      <c r="AI141" s="442" t="s">
        <v>368</v>
      </c>
      <c r="AJ141" t="s">
        <v>922</v>
      </c>
      <c r="AK141" s="364">
        <v>0</v>
      </c>
      <c r="AL141" s="364">
        <v>0</v>
      </c>
      <c r="AM141" s="370">
        <v>826894.11</v>
      </c>
      <c r="AN141" s="505">
        <v>-533419.21506099962</v>
      </c>
      <c r="AO141" s="448">
        <v>826894.10902273329</v>
      </c>
      <c r="AP141" s="448"/>
      <c r="AQ141" s="438"/>
      <c r="AR141" s="449">
        <f t="shared" si="40"/>
        <v>293474.89493900037</v>
      </c>
      <c r="AS141" s="438"/>
      <c r="AT141" s="438"/>
      <c r="AU141" s="364">
        <v>0</v>
      </c>
      <c r="AV141" s="370">
        <v>826894.11</v>
      </c>
      <c r="AW141" s="505">
        <v>-533419.21506099962</v>
      </c>
      <c r="AX141" s="452">
        <f t="shared" si="44"/>
        <v>293474.89493900037</v>
      </c>
      <c r="AY141" s="250">
        <f t="shared" si="29"/>
        <v>0</v>
      </c>
      <c r="AZ141" s="439"/>
      <c r="BA141" s="582">
        <v>-1088089.6548000593</v>
      </c>
      <c r="BB141" s="462">
        <f t="shared" si="45"/>
        <v>-794614.7598610589</v>
      </c>
      <c r="BC141" s="463">
        <f t="shared" si="37"/>
        <v>0</v>
      </c>
      <c r="BD141" s="431"/>
      <c r="BE141" s="435">
        <f t="shared" si="41"/>
        <v>0</v>
      </c>
    </row>
    <row r="142" spans="1:57" ht="15">
      <c r="A142" s="415">
        <v>136</v>
      </c>
      <c r="B142" s="415">
        <v>239</v>
      </c>
      <c r="C142" t="s">
        <v>582</v>
      </c>
      <c r="D142" t="s">
        <v>1013</v>
      </c>
      <c r="E142" s="364">
        <v>0</v>
      </c>
      <c r="F142" s="364">
        <v>0</v>
      </c>
      <c r="G142" s="369">
        <v>-227658.07767700031</v>
      </c>
      <c r="H142" s="364">
        <v>-370644.70618500025</v>
      </c>
      <c r="I142" s="350">
        <f t="shared" si="42"/>
        <v>-598302.78386200056</v>
      </c>
      <c r="K142" s="66">
        <f t="shared" si="43"/>
        <v>0</v>
      </c>
      <c r="L142" s="66"/>
      <c r="M142" s="415">
        <v>136</v>
      </c>
      <c r="N142" s="415">
        <v>239</v>
      </c>
      <c r="O142" s="66" t="s">
        <v>582</v>
      </c>
      <c r="P142" t="s">
        <v>1013</v>
      </c>
      <c r="Q142" s="364">
        <v>-370644.70618500025</v>
      </c>
      <c r="R142" t="s">
        <v>2580</v>
      </c>
      <c r="S142" s="250"/>
      <c r="T142" s="159">
        <f t="shared" si="46"/>
        <v>0</v>
      </c>
      <c r="U142" s="250"/>
      <c r="V142" s="415">
        <v>136</v>
      </c>
      <c r="W142" t="s">
        <v>582</v>
      </c>
      <c r="X142" t="s">
        <v>1013</v>
      </c>
      <c r="Y142" s="364">
        <v>-137726.69743200013</v>
      </c>
      <c r="Z142" s="364">
        <v>0</v>
      </c>
      <c r="AA142" s="369">
        <v>18119.635444000203</v>
      </c>
      <c r="AB142" s="505">
        <v>-227658.07767700031</v>
      </c>
      <c r="AC142" s="350">
        <f t="shared" si="38"/>
        <v>-347265.13966500026</v>
      </c>
      <c r="AG142" s="159">
        <f t="shared" si="39"/>
        <v>0</v>
      </c>
      <c r="AI142" s="442" t="s">
        <v>582</v>
      </c>
      <c r="AJ142" t="s">
        <v>1013</v>
      </c>
      <c r="AK142" s="364">
        <v>0</v>
      </c>
      <c r="AL142" s="364">
        <v>0</v>
      </c>
      <c r="AM142" s="369">
        <v>0</v>
      </c>
      <c r="AN142" s="505">
        <v>-227658.07767700031</v>
      </c>
      <c r="AO142" s="448">
        <v>-219916.53198799992</v>
      </c>
      <c r="AP142" s="448"/>
      <c r="AQ142" s="438"/>
      <c r="AR142" s="449">
        <f t="shared" si="40"/>
        <v>-227658.07767700031</v>
      </c>
      <c r="AS142" s="438"/>
      <c r="AT142" s="438"/>
      <c r="AU142" s="364">
        <v>0</v>
      </c>
      <c r="AV142" s="369">
        <v>0</v>
      </c>
      <c r="AW142" s="505">
        <v>-227658.07767700031</v>
      </c>
      <c r="AX142" s="452">
        <f t="shared" si="44"/>
        <v>-227658.07767700031</v>
      </c>
      <c r="AY142" s="250">
        <f t="shared" si="29"/>
        <v>0</v>
      </c>
      <c r="AZ142" s="439"/>
      <c r="BA142" s="582">
        <v>-370644.70618500025</v>
      </c>
      <c r="BB142" s="462">
        <f t="shared" si="45"/>
        <v>-598302.78386200056</v>
      </c>
      <c r="BC142" s="463">
        <f t="shared" si="37"/>
        <v>0</v>
      </c>
      <c r="BD142" s="431"/>
      <c r="BE142" s="435">
        <f t="shared" si="41"/>
        <v>0</v>
      </c>
    </row>
    <row r="143" spans="1:57" ht="15">
      <c r="A143" s="415">
        <v>137</v>
      </c>
      <c r="B143" s="415">
        <v>302</v>
      </c>
      <c r="C143" t="s">
        <v>687</v>
      </c>
      <c r="D143" t="s">
        <v>1059</v>
      </c>
      <c r="E143" s="364">
        <v>-23548.804125999995</v>
      </c>
      <c r="F143" s="364">
        <v>-45664.84406399999</v>
      </c>
      <c r="G143" s="369">
        <v>-21493.423645999996</v>
      </c>
      <c r="H143" s="364">
        <v>-35271.342923000004</v>
      </c>
      <c r="I143" s="350">
        <f t="shared" si="42"/>
        <v>-125978.41475899998</v>
      </c>
      <c r="K143" s="66">
        <f t="shared" si="43"/>
        <v>0</v>
      </c>
      <c r="L143" s="66"/>
      <c r="M143" s="415">
        <v>137</v>
      </c>
      <c r="N143" s="415">
        <v>302</v>
      </c>
      <c r="O143" s="66" t="s">
        <v>687</v>
      </c>
      <c r="P143" t="s">
        <v>1059</v>
      </c>
      <c r="Q143" s="364">
        <v>-35271.342923000004</v>
      </c>
      <c r="R143" t="s">
        <v>2580</v>
      </c>
      <c r="S143" s="250"/>
      <c r="T143" s="159">
        <f t="shared" si="46"/>
        <v>0</v>
      </c>
      <c r="U143" s="250"/>
      <c r="V143" s="415">
        <v>137</v>
      </c>
      <c r="W143" t="s">
        <v>687</v>
      </c>
      <c r="X143" t="s">
        <v>1059</v>
      </c>
      <c r="Y143" s="364">
        <v>-15880.926325000011</v>
      </c>
      <c r="Z143" s="364">
        <v>-23548.804125999995</v>
      </c>
      <c r="AA143" s="369">
        <v>-45664.84406399999</v>
      </c>
      <c r="AB143" s="505">
        <v>-21493.423645999996</v>
      </c>
      <c r="AC143" s="350">
        <f t="shared" si="38"/>
        <v>-106587.998161</v>
      </c>
      <c r="AG143" s="159">
        <f t="shared" si="39"/>
        <v>0</v>
      </c>
      <c r="AI143" s="442" t="s">
        <v>687</v>
      </c>
      <c r="AJ143" t="s">
        <v>1059</v>
      </c>
      <c r="AK143" s="364">
        <v>0</v>
      </c>
      <c r="AL143" s="364">
        <v>-23548.804125999995</v>
      </c>
      <c r="AM143" s="369">
        <v>-45664.84406399999</v>
      </c>
      <c r="AN143" s="505">
        <v>-21493.423645999996</v>
      </c>
      <c r="AO143" s="448">
        <v>-101762.61451499999</v>
      </c>
      <c r="AP143" s="448"/>
      <c r="AQ143" s="438"/>
      <c r="AR143" s="449">
        <f t="shared" si="40"/>
        <v>-90707.071835999974</v>
      </c>
      <c r="AS143" s="438"/>
      <c r="AT143" s="438"/>
      <c r="AU143" s="364">
        <v>-23548.804125999995</v>
      </c>
      <c r="AV143" s="369">
        <v>-45664.84406399999</v>
      </c>
      <c r="AW143" s="505">
        <v>-21493.423645999996</v>
      </c>
      <c r="AX143" s="452">
        <f t="shared" si="44"/>
        <v>-90707.071835999974</v>
      </c>
      <c r="AY143" s="250">
        <f t="shared" si="29"/>
        <v>0</v>
      </c>
      <c r="AZ143" s="439"/>
      <c r="BA143" s="582">
        <v>-35271.342923000004</v>
      </c>
      <c r="BB143" s="462">
        <f t="shared" si="45"/>
        <v>-125978.41475899998</v>
      </c>
      <c r="BC143" s="463">
        <f t="shared" si="37"/>
        <v>0</v>
      </c>
      <c r="BD143" s="431"/>
      <c r="BE143" s="435">
        <f t="shared" si="41"/>
        <v>0</v>
      </c>
    </row>
    <row r="144" spans="1:57" ht="15">
      <c r="A144" s="415">
        <v>138</v>
      </c>
      <c r="B144" s="415">
        <v>254</v>
      </c>
      <c r="C144" t="s">
        <v>611</v>
      </c>
      <c r="D144" t="s">
        <v>1024</v>
      </c>
      <c r="E144" s="364">
        <v>0</v>
      </c>
      <c r="F144" s="364">
        <v>-66811.204494999969</v>
      </c>
      <c r="G144" s="369">
        <v>-79187.535976000072</v>
      </c>
      <c r="H144" s="364">
        <v>-54376.246579999977</v>
      </c>
      <c r="I144" s="350">
        <f t="shared" si="42"/>
        <v>-200374.987051</v>
      </c>
      <c r="K144" s="66">
        <f t="shared" si="43"/>
        <v>0</v>
      </c>
      <c r="L144" s="66"/>
      <c r="M144" s="415">
        <v>138</v>
      </c>
      <c r="N144" s="415">
        <v>254</v>
      </c>
      <c r="O144" s="66" t="s">
        <v>611</v>
      </c>
      <c r="P144" t="s">
        <v>1024</v>
      </c>
      <c r="Q144" s="364">
        <v>-54376.246579999977</v>
      </c>
      <c r="R144" t="s">
        <v>2580</v>
      </c>
      <c r="S144" s="250"/>
      <c r="T144" s="159">
        <f t="shared" si="46"/>
        <v>0</v>
      </c>
      <c r="U144" s="250"/>
      <c r="V144" s="415">
        <v>138</v>
      </c>
      <c r="W144" t="s">
        <v>611</v>
      </c>
      <c r="X144" t="s">
        <v>1024</v>
      </c>
      <c r="Y144" s="364">
        <v>-19420.016694999984</v>
      </c>
      <c r="Z144" s="364">
        <v>0</v>
      </c>
      <c r="AA144" s="369">
        <v>-66811.204494999969</v>
      </c>
      <c r="AB144" s="505">
        <v>-79187.535976000072</v>
      </c>
      <c r="AC144" s="350">
        <f t="shared" si="38"/>
        <v>-165418.75716600002</v>
      </c>
      <c r="AG144" s="159">
        <f t="shared" si="39"/>
        <v>0</v>
      </c>
      <c r="AI144" s="442" t="s">
        <v>611</v>
      </c>
      <c r="AJ144" t="s">
        <v>1024</v>
      </c>
      <c r="AK144" s="364">
        <v>0</v>
      </c>
      <c r="AL144" s="364">
        <v>0</v>
      </c>
      <c r="AM144" s="369">
        <v>-66811.204494999969</v>
      </c>
      <c r="AN144" s="505">
        <v>-79187.535976000072</v>
      </c>
      <c r="AO144" s="448">
        <v>-166588.53118999995</v>
      </c>
      <c r="AP144" s="448"/>
      <c r="AQ144" s="438"/>
      <c r="AR144" s="449">
        <f t="shared" si="40"/>
        <v>-145998.74047100003</v>
      </c>
      <c r="AS144" s="438"/>
      <c r="AT144" s="438"/>
      <c r="AU144" s="364">
        <v>0</v>
      </c>
      <c r="AV144" s="369">
        <v>-66811.204494999969</v>
      </c>
      <c r="AW144" s="505">
        <v>-79187.535976000072</v>
      </c>
      <c r="AX144" s="452">
        <f t="shared" si="44"/>
        <v>-145998.74047100003</v>
      </c>
      <c r="AY144" s="250">
        <f t="shared" si="29"/>
        <v>0</v>
      </c>
      <c r="AZ144" s="439"/>
      <c r="BA144" s="582">
        <v>-54376.246579999977</v>
      </c>
      <c r="BB144" s="462">
        <f t="shared" si="45"/>
        <v>-200374.987051</v>
      </c>
      <c r="BC144" s="463">
        <f t="shared" si="37"/>
        <v>0</v>
      </c>
      <c r="BD144" s="431"/>
      <c r="BE144" s="435">
        <f t="shared" si="41"/>
        <v>0</v>
      </c>
    </row>
    <row r="145" spans="1:57" ht="15">
      <c r="A145" s="415">
        <v>139</v>
      </c>
      <c r="B145" s="415">
        <v>4</v>
      </c>
      <c r="C145" t="s">
        <v>169</v>
      </c>
      <c r="D145" t="s">
        <v>830</v>
      </c>
      <c r="E145" s="364">
        <v>-68618.794852000021</v>
      </c>
      <c r="F145" s="364">
        <v>-76058.155228999996</v>
      </c>
      <c r="G145" s="369">
        <v>-94830.976801999961</v>
      </c>
      <c r="H145" s="364">
        <v>-68248.680185999983</v>
      </c>
      <c r="I145" s="350">
        <f t="shared" si="42"/>
        <v>-307756.60706899996</v>
      </c>
      <c r="K145" s="66">
        <f t="shared" si="43"/>
        <v>0</v>
      </c>
      <c r="L145" s="66"/>
      <c r="M145" s="415">
        <v>139</v>
      </c>
      <c r="N145" s="415">
        <v>4</v>
      </c>
      <c r="O145" s="66" t="s">
        <v>169</v>
      </c>
      <c r="P145" t="s">
        <v>830</v>
      </c>
      <c r="Q145" s="364">
        <v>-68248.680185999983</v>
      </c>
      <c r="R145" t="s">
        <v>2580</v>
      </c>
      <c r="S145" s="250"/>
      <c r="T145" s="159">
        <f t="shared" si="46"/>
        <v>0</v>
      </c>
      <c r="U145" s="250"/>
      <c r="V145" s="415">
        <v>139</v>
      </c>
      <c r="W145" t="s">
        <v>169</v>
      </c>
      <c r="X145" t="s">
        <v>830</v>
      </c>
      <c r="Y145" s="364">
        <v>-60799.307671000024</v>
      </c>
      <c r="Z145" s="364">
        <v>-68618.794852000021</v>
      </c>
      <c r="AA145" s="369">
        <v>-76058.155228999996</v>
      </c>
      <c r="AB145" s="505">
        <v>-94830.976801999961</v>
      </c>
      <c r="AC145" s="350">
        <f t="shared" si="38"/>
        <v>-300307.23455399997</v>
      </c>
      <c r="AG145" s="159">
        <f t="shared" si="39"/>
        <v>0</v>
      </c>
      <c r="AI145" s="442" t="s">
        <v>169</v>
      </c>
      <c r="AJ145" t="s">
        <v>830</v>
      </c>
      <c r="AK145" s="364">
        <v>0</v>
      </c>
      <c r="AL145" s="364">
        <v>-68618.794852000021</v>
      </c>
      <c r="AM145" s="369">
        <v>-76058.155228999996</v>
      </c>
      <c r="AN145" s="505">
        <v>-94830.976801999961</v>
      </c>
      <c r="AO145" s="448">
        <v>-281706.48775200004</v>
      </c>
      <c r="AP145" s="448"/>
      <c r="AQ145" s="438"/>
      <c r="AR145" s="449">
        <f t="shared" si="40"/>
        <v>-239507.92688299998</v>
      </c>
      <c r="AS145" s="438"/>
      <c r="AT145" s="438"/>
      <c r="AU145" s="364">
        <v>-68618.794852000021</v>
      </c>
      <c r="AV145" s="369">
        <v>-76058.155228999996</v>
      </c>
      <c r="AW145" s="505">
        <v>-94830.976801999961</v>
      </c>
      <c r="AX145" s="452">
        <f t="shared" si="44"/>
        <v>-239507.92688299998</v>
      </c>
      <c r="AY145" s="250">
        <f t="shared" si="29"/>
        <v>0</v>
      </c>
      <c r="AZ145" s="439"/>
      <c r="BA145" s="582">
        <v>-68248.680185999983</v>
      </c>
      <c r="BB145" s="462">
        <f t="shared" si="45"/>
        <v>-307756.60706899996</v>
      </c>
      <c r="BC145" s="463">
        <f t="shared" si="37"/>
        <v>0</v>
      </c>
      <c r="BD145" s="431"/>
      <c r="BE145" s="435">
        <f t="shared" si="41"/>
        <v>0</v>
      </c>
    </row>
    <row r="146" spans="1:57" ht="15">
      <c r="A146" s="415">
        <v>140</v>
      </c>
      <c r="B146" s="415">
        <v>43</v>
      </c>
      <c r="C146" t="s">
        <v>233</v>
      </c>
      <c r="D146" t="s">
        <v>857</v>
      </c>
      <c r="E146" s="364">
        <v>0</v>
      </c>
      <c r="F146" s="446">
        <v>0</v>
      </c>
      <c r="G146" s="447">
        <v>-932847.63610200025</v>
      </c>
      <c r="H146" s="364">
        <v>-350690.18780873297</v>
      </c>
      <c r="I146" s="350">
        <f t="shared" si="42"/>
        <v>-1283537.8239107332</v>
      </c>
      <c r="K146" s="66">
        <f t="shared" si="43"/>
        <v>0</v>
      </c>
      <c r="L146" s="66"/>
      <c r="M146" s="415">
        <v>140</v>
      </c>
      <c r="N146" s="415">
        <v>43</v>
      </c>
      <c r="O146" s="66" t="s">
        <v>233</v>
      </c>
      <c r="P146" t="s">
        <v>857</v>
      </c>
      <c r="Q146" s="364">
        <v>-350690.18780873297</v>
      </c>
      <c r="R146" t="s">
        <v>2580</v>
      </c>
      <c r="S146" s="250"/>
      <c r="T146" s="159">
        <f t="shared" si="46"/>
        <v>0</v>
      </c>
      <c r="U146" s="250"/>
      <c r="V146" s="415">
        <v>140</v>
      </c>
      <c r="W146" t="s">
        <v>233</v>
      </c>
      <c r="X146" t="s">
        <v>857</v>
      </c>
      <c r="Y146" s="364">
        <v>-64443.982029430539</v>
      </c>
      <c r="Z146" s="446">
        <v>0</v>
      </c>
      <c r="AA146" s="447">
        <v>0</v>
      </c>
      <c r="AB146" s="505">
        <v>-932847.63610200025</v>
      </c>
      <c r="AC146" s="350">
        <f t="shared" si="38"/>
        <v>-997291.61813143082</v>
      </c>
      <c r="AG146" s="159">
        <f t="shared" si="39"/>
        <v>0</v>
      </c>
      <c r="AI146" s="442" t="s">
        <v>233</v>
      </c>
      <c r="AJ146" t="s">
        <v>857</v>
      </c>
      <c r="AK146" s="364">
        <v>0</v>
      </c>
      <c r="AL146" s="584">
        <v>0</v>
      </c>
      <c r="AM146" s="370">
        <v>0</v>
      </c>
      <c r="AN146" s="505">
        <v>-932847.63610200025</v>
      </c>
      <c r="AO146" s="448">
        <v>-92378.531616051769</v>
      </c>
      <c r="AP146" s="448"/>
      <c r="AQ146" s="438"/>
      <c r="AR146" s="449">
        <f t="shared" si="40"/>
        <v>-932847.63610200025</v>
      </c>
      <c r="AS146" s="438"/>
      <c r="AT146" s="438"/>
      <c r="AU146" s="584">
        <v>0</v>
      </c>
      <c r="AV146" s="370">
        <v>0</v>
      </c>
      <c r="AW146" s="505">
        <v>-932847.63610200025</v>
      </c>
      <c r="AX146" s="452">
        <f t="shared" si="44"/>
        <v>-932847.63610200025</v>
      </c>
      <c r="AY146" s="250">
        <f t="shared" si="29"/>
        <v>0</v>
      </c>
      <c r="AZ146" s="439"/>
      <c r="BA146" s="582">
        <v>-350690.18780873297</v>
      </c>
      <c r="BB146" s="462">
        <f t="shared" si="45"/>
        <v>-1283537.8239107332</v>
      </c>
      <c r="BC146" s="463">
        <f t="shared" si="37"/>
        <v>0</v>
      </c>
      <c r="BD146" s="431"/>
      <c r="BE146" s="435">
        <f t="shared" si="41"/>
        <v>0</v>
      </c>
    </row>
    <row r="147" spans="1:57" ht="15">
      <c r="A147" s="415">
        <v>141</v>
      </c>
      <c r="B147" s="415">
        <v>267</v>
      </c>
      <c r="C147" t="s">
        <v>628</v>
      </c>
      <c r="D147" t="s">
        <v>1032</v>
      </c>
      <c r="E147" s="364">
        <v>-142979.84973400002</v>
      </c>
      <c r="F147" s="364">
        <v>-161885.89389800004</v>
      </c>
      <c r="G147" s="369">
        <v>-179615.93544999996</v>
      </c>
      <c r="H147" s="364">
        <v>-173311.92041999995</v>
      </c>
      <c r="I147" s="350">
        <f t="shared" si="42"/>
        <v>-657793.59950200003</v>
      </c>
      <c r="K147" s="66">
        <f t="shared" si="43"/>
        <v>0</v>
      </c>
      <c r="L147" s="66"/>
      <c r="M147" s="415">
        <v>141</v>
      </c>
      <c r="N147" s="415">
        <v>267</v>
      </c>
      <c r="O147" s="66" t="s">
        <v>628</v>
      </c>
      <c r="P147" t="s">
        <v>1032</v>
      </c>
      <c r="Q147" s="364">
        <v>-173311.92041999995</v>
      </c>
      <c r="R147" t="s">
        <v>2580</v>
      </c>
      <c r="S147" s="250"/>
      <c r="T147" s="159">
        <f t="shared" si="46"/>
        <v>0</v>
      </c>
      <c r="U147" s="250"/>
      <c r="V147" s="415">
        <v>141</v>
      </c>
      <c r="W147" t="s">
        <v>628</v>
      </c>
      <c r="X147" t="s">
        <v>1032</v>
      </c>
      <c r="Y147" s="364">
        <v>-183131.88562300007</v>
      </c>
      <c r="Z147" s="364">
        <v>-142979.84973400002</v>
      </c>
      <c r="AA147" s="369">
        <v>-161885.89389800004</v>
      </c>
      <c r="AB147" s="505">
        <v>-179615.93544999996</v>
      </c>
      <c r="AC147" s="350">
        <f t="shared" si="38"/>
        <v>-667613.56470500014</v>
      </c>
      <c r="AG147" s="159">
        <f t="shared" si="39"/>
        <v>0</v>
      </c>
      <c r="AI147" s="442" t="s">
        <v>628</v>
      </c>
      <c r="AJ147" t="s">
        <v>1032</v>
      </c>
      <c r="AK147" s="364">
        <v>0</v>
      </c>
      <c r="AL147" s="364">
        <v>-142979.84973400002</v>
      </c>
      <c r="AM147" s="369">
        <v>-161885.89389800004</v>
      </c>
      <c r="AN147" s="505">
        <v>-179615.93544999996</v>
      </c>
      <c r="AO147" s="448">
        <v>-618714.37925500015</v>
      </c>
      <c r="AP147" s="448"/>
      <c r="AQ147" s="438"/>
      <c r="AR147" s="449">
        <f t="shared" si="40"/>
        <v>-484481.67908200005</v>
      </c>
      <c r="AS147" s="438"/>
      <c r="AT147" s="438"/>
      <c r="AU147" s="364">
        <v>-142979.84973400002</v>
      </c>
      <c r="AV147" s="369">
        <v>-161885.89389800004</v>
      </c>
      <c r="AW147" s="505">
        <v>-179615.93544999996</v>
      </c>
      <c r="AX147" s="452">
        <f t="shared" si="44"/>
        <v>-484481.67908200005</v>
      </c>
      <c r="AY147" s="250">
        <f t="shared" si="29"/>
        <v>0</v>
      </c>
      <c r="AZ147" s="439"/>
      <c r="BA147" s="582">
        <v>-173311.92041999995</v>
      </c>
      <c r="BB147" s="462">
        <f t="shared" si="45"/>
        <v>-657793.59950200003</v>
      </c>
      <c r="BC147" s="463">
        <f t="shared" si="37"/>
        <v>0</v>
      </c>
      <c r="BD147" s="431"/>
      <c r="BE147" s="435">
        <f t="shared" si="41"/>
        <v>0</v>
      </c>
    </row>
    <row r="148" spans="1:57" ht="15">
      <c r="A148" s="415">
        <v>142</v>
      </c>
      <c r="B148" s="415">
        <v>216</v>
      </c>
      <c r="C148" t="s">
        <v>539</v>
      </c>
      <c r="D148" t="s">
        <v>540</v>
      </c>
      <c r="E148" s="364">
        <v>-69020.283839999989</v>
      </c>
      <c r="F148" s="364">
        <v>-190090.63075399998</v>
      </c>
      <c r="G148" s="369">
        <v>-152522.49765000003</v>
      </c>
      <c r="H148" s="364">
        <v>-187537.48376900004</v>
      </c>
      <c r="I148" s="350">
        <f t="shared" si="42"/>
        <v>-599170.89601300005</v>
      </c>
      <c r="K148" s="66">
        <f t="shared" si="43"/>
        <v>0</v>
      </c>
      <c r="L148" s="66"/>
      <c r="M148" s="415">
        <v>142</v>
      </c>
      <c r="N148" s="415">
        <v>216</v>
      </c>
      <c r="O148" s="66" t="s">
        <v>539</v>
      </c>
      <c r="P148" t="s">
        <v>540</v>
      </c>
      <c r="Q148" s="364">
        <v>-187537.48376900004</v>
      </c>
      <c r="R148" t="s">
        <v>2580</v>
      </c>
      <c r="S148" s="250"/>
      <c r="T148" s="159">
        <f t="shared" si="46"/>
        <v>0</v>
      </c>
      <c r="U148" s="250"/>
      <c r="V148" s="415">
        <v>142</v>
      </c>
      <c r="W148" t="s">
        <v>539</v>
      </c>
      <c r="X148" t="s">
        <v>540</v>
      </c>
      <c r="Y148" s="364">
        <v>-26938.582875000004</v>
      </c>
      <c r="Z148" s="364">
        <v>-69020.283839999989</v>
      </c>
      <c r="AA148" s="369">
        <v>-190090.63075399998</v>
      </c>
      <c r="AB148" s="505">
        <v>-152522.49765000003</v>
      </c>
      <c r="AC148" s="350">
        <f t="shared" si="38"/>
        <v>-438571.99511900003</v>
      </c>
      <c r="AG148" s="159">
        <f t="shared" si="39"/>
        <v>0</v>
      </c>
      <c r="AI148" s="442" t="s">
        <v>539</v>
      </c>
      <c r="AJ148" t="s">
        <v>540</v>
      </c>
      <c r="AK148" s="364">
        <v>0</v>
      </c>
      <c r="AL148" s="364">
        <v>-69020.283839999989</v>
      </c>
      <c r="AM148" s="369">
        <v>-190090.63075399998</v>
      </c>
      <c r="AN148" s="505">
        <v>-152522.49765000003</v>
      </c>
      <c r="AO148" s="448">
        <v>-417875.46746899997</v>
      </c>
      <c r="AP148" s="448"/>
      <c r="AQ148" s="438"/>
      <c r="AR148" s="449">
        <f t="shared" si="40"/>
        <v>-411633.41224400001</v>
      </c>
      <c r="AS148" s="438"/>
      <c r="AT148" s="438"/>
      <c r="AU148" s="364">
        <v>-69020.283839999989</v>
      </c>
      <c r="AV148" s="369">
        <v>-190090.63075399998</v>
      </c>
      <c r="AW148" s="505">
        <v>-152522.49765000003</v>
      </c>
      <c r="AX148" s="452">
        <f t="shared" si="44"/>
        <v>-411633.41224400001</v>
      </c>
      <c r="AY148" s="250">
        <f t="shared" si="29"/>
        <v>0</v>
      </c>
      <c r="AZ148" s="439"/>
      <c r="BA148" s="582">
        <v>-187537.48376900004</v>
      </c>
      <c r="BB148" s="462">
        <f t="shared" si="45"/>
        <v>-599170.89601300005</v>
      </c>
      <c r="BC148" s="463">
        <f t="shared" si="37"/>
        <v>0</v>
      </c>
      <c r="BD148" s="431"/>
      <c r="BE148" s="435">
        <f t="shared" si="41"/>
        <v>0</v>
      </c>
    </row>
    <row r="149" spans="1:57" ht="15">
      <c r="A149" s="415">
        <v>143</v>
      </c>
      <c r="B149" s="415">
        <v>260</v>
      </c>
      <c r="C149" t="s">
        <v>1577</v>
      </c>
      <c r="D149" t="s">
        <v>1626</v>
      </c>
      <c r="E149" s="364">
        <v>-5213.68</v>
      </c>
      <c r="F149" s="364">
        <v>-3576.4449999999983</v>
      </c>
      <c r="G149" s="369">
        <v>-28152.757368000021</v>
      </c>
      <c r="H149" s="364">
        <v>-2182.3145100000002</v>
      </c>
      <c r="I149" s="350">
        <f t="shared" si="42"/>
        <v>-39125.196878000017</v>
      </c>
      <c r="K149" s="66">
        <f t="shared" si="43"/>
        <v>0</v>
      </c>
      <c r="L149" s="66"/>
      <c r="M149" s="415">
        <v>143</v>
      </c>
      <c r="N149" s="415">
        <v>260</v>
      </c>
      <c r="O149" s="66" t="s">
        <v>1577</v>
      </c>
      <c r="P149" t="s">
        <v>1626</v>
      </c>
      <c r="Q149" s="364">
        <v>-2182.3145100000002</v>
      </c>
      <c r="R149" t="s">
        <v>2580</v>
      </c>
      <c r="S149" s="250"/>
      <c r="T149" s="159">
        <f t="shared" si="46"/>
        <v>0</v>
      </c>
      <c r="U149" s="250"/>
      <c r="V149" s="415">
        <v>143</v>
      </c>
      <c r="W149" t="s">
        <v>1577</v>
      </c>
      <c r="X149" t="s">
        <v>1626</v>
      </c>
      <c r="Y149" s="364">
        <v>-4682.3500000000004</v>
      </c>
      <c r="Z149" s="364">
        <v>-5213.68</v>
      </c>
      <c r="AA149" s="369">
        <v>-3576.4449999999983</v>
      </c>
      <c r="AB149" s="505">
        <v>-28152.757368000021</v>
      </c>
      <c r="AC149" s="350">
        <f t="shared" si="38"/>
        <v>-41625.232368000019</v>
      </c>
      <c r="AG149" s="159">
        <f t="shared" si="39"/>
        <v>0</v>
      </c>
      <c r="AI149" s="442" t="s">
        <v>1577</v>
      </c>
      <c r="AJ149" t="s">
        <v>1626</v>
      </c>
      <c r="AK149" s="364">
        <v>0</v>
      </c>
      <c r="AL149" s="364">
        <v>-5213.68</v>
      </c>
      <c r="AM149" s="369">
        <v>-3576.4449999999983</v>
      </c>
      <c r="AN149" s="505">
        <v>-28152.757368000021</v>
      </c>
      <c r="AO149" s="448">
        <v>-13472.474999999999</v>
      </c>
      <c r="AP149" s="448"/>
      <c r="AQ149" s="438"/>
      <c r="AR149" s="449">
        <f t="shared" si="40"/>
        <v>-36942.882368000021</v>
      </c>
      <c r="AS149" s="438"/>
      <c r="AT149" s="438"/>
      <c r="AU149" s="364">
        <v>-5213.68</v>
      </c>
      <c r="AV149" s="369">
        <v>-3576.4449999999983</v>
      </c>
      <c r="AW149" s="505">
        <v>-28152.757368000021</v>
      </c>
      <c r="AX149" s="452">
        <f t="shared" si="44"/>
        <v>-36942.882368000021</v>
      </c>
      <c r="AY149" s="250">
        <f t="shared" si="29"/>
        <v>0</v>
      </c>
      <c r="AZ149" s="439"/>
      <c r="BA149" s="582">
        <v>-2182.3145100000002</v>
      </c>
      <c r="BB149" s="462">
        <f t="shared" si="45"/>
        <v>-39125.196878000017</v>
      </c>
      <c r="BC149" s="463">
        <f t="shared" si="37"/>
        <v>0</v>
      </c>
      <c r="BD149" s="431"/>
      <c r="BE149" s="435">
        <f t="shared" si="41"/>
        <v>0</v>
      </c>
    </row>
    <row r="150" spans="1:57" ht="15">
      <c r="A150" s="415">
        <v>144</v>
      </c>
      <c r="B150" s="415">
        <v>300</v>
      </c>
      <c r="C150" t="s">
        <v>1178</v>
      </c>
      <c r="D150" t="s">
        <v>1545</v>
      </c>
      <c r="E150" s="364">
        <v>-27217.479999999923</v>
      </c>
      <c r="F150" s="364">
        <v>-25772.401000000002</v>
      </c>
      <c r="G150" s="369">
        <v>0</v>
      </c>
      <c r="H150" s="364"/>
      <c r="I150" s="350">
        <f t="shared" si="42"/>
        <v>-52989.880999999921</v>
      </c>
      <c r="K150" s="66">
        <f t="shared" si="43"/>
        <v>0</v>
      </c>
      <c r="L150" s="66"/>
      <c r="M150" s="415">
        <v>144</v>
      </c>
      <c r="N150" s="415">
        <v>300</v>
      </c>
      <c r="O150" t="s">
        <v>1178</v>
      </c>
      <c r="P150" t="s">
        <v>1545</v>
      </c>
      <c r="Q150" s="364"/>
      <c r="R150" t="s">
        <v>2580</v>
      </c>
      <c r="S150" s="250"/>
      <c r="T150" s="159">
        <f t="shared" si="46"/>
        <v>0</v>
      </c>
      <c r="U150" s="250"/>
      <c r="V150" s="415">
        <v>144</v>
      </c>
      <c r="W150" t="s">
        <v>1178</v>
      </c>
      <c r="X150" t="s">
        <v>1545</v>
      </c>
      <c r="Y150" s="364">
        <v>0</v>
      </c>
      <c r="Z150" s="364">
        <v>-27217.479999999923</v>
      </c>
      <c r="AA150" s="369">
        <v>-25772.401000000002</v>
      </c>
      <c r="AB150" s="505">
        <v>0</v>
      </c>
      <c r="AC150" s="350">
        <f t="shared" si="38"/>
        <v>-52989.880999999921</v>
      </c>
      <c r="AG150" s="159">
        <f t="shared" si="39"/>
        <v>0</v>
      </c>
      <c r="AI150" s="442" t="s">
        <v>1178</v>
      </c>
      <c r="AJ150" t="s">
        <v>1545</v>
      </c>
      <c r="AK150" s="364">
        <v>0</v>
      </c>
      <c r="AL150" s="364">
        <v>-27217.479999999923</v>
      </c>
      <c r="AM150" s="369">
        <v>-25772.401000000002</v>
      </c>
      <c r="AN150" s="505">
        <v>0</v>
      </c>
      <c r="AO150" s="448">
        <v>-67376.28099999993</v>
      </c>
      <c r="AP150" s="448"/>
      <c r="AQ150" s="438"/>
      <c r="AR150" s="449">
        <f t="shared" si="40"/>
        <v>-52989.880999999921</v>
      </c>
      <c r="AS150" s="438"/>
      <c r="AT150" s="438"/>
      <c r="AU150" s="364">
        <v>-27217.479999999923</v>
      </c>
      <c r="AV150" s="369">
        <v>-25772.401000000002</v>
      </c>
      <c r="AW150" s="505">
        <v>0</v>
      </c>
      <c r="AX150" s="452">
        <f t="shared" si="44"/>
        <v>-52989.880999999921</v>
      </c>
      <c r="AY150" s="250">
        <f t="shared" si="29"/>
        <v>0</v>
      </c>
      <c r="AZ150" s="439"/>
      <c r="BA150" s="582"/>
      <c r="BB150" s="462">
        <f t="shared" si="45"/>
        <v>-52989.880999999921</v>
      </c>
      <c r="BC150" s="463">
        <f t="shared" si="37"/>
        <v>0</v>
      </c>
      <c r="BD150" s="431"/>
      <c r="BE150" s="435">
        <f t="shared" si="41"/>
        <v>0</v>
      </c>
    </row>
    <row r="151" spans="1:57" ht="15">
      <c r="A151" s="415">
        <v>145</v>
      </c>
      <c r="B151" s="415">
        <v>149</v>
      </c>
      <c r="C151" t="s">
        <v>414</v>
      </c>
      <c r="D151" t="s">
        <v>938</v>
      </c>
      <c r="E151" s="364">
        <v>-77870.268944000025</v>
      </c>
      <c r="F151" s="364">
        <v>-91678.677349999984</v>
      </c>
      <c r="G151" s="369">
        <v>-104129.38619999998</v>
      </c>
      <c r="H151" s="364">
        <v>-106927.67164400002</v>
      </c>
      <c r="I151" s="350">
        <f t="shared" si="42"/>
        <v>-380606.00413799996</v>
      </c>
      <c r="K151" s="66">
        <f t="shared" si="43"/>
        <v>0</v>
      </c>
      <c r="L151" s="66"/>
      <c r="M151" s="415">
        <v>145</v>
      </c>
      <c r="N151" s="415">
        <v>149</v>
      </c>
      <c r="O151" s="66" t="s">
        <v>414</v>
      </c>
      <c r="P151" t="s">
        <v>938</v>
      </c>
      <c r="Q151" s="364">
        <v>-106927.67164400002</v>
      </c>
      <c r="R151" t="s">
        <v>2580</v>
      </c>
      <c r="S151" s="250"/>
      <c r="T151" s="159">
        <f t="shared" si="46"/>
        <v>0</v>
      </c>
      <c r="U151" s="250"/>
      <c r="V151" s="415">
        <v>145</v>
      </c>
      <c r="W151" t="s">
        <v>414</v>
      </c>
      <c r="X151" t="s">
        <v>938</v>
      </c>
      <c r="Y151" s="364">
        <v>-66003.144241999995</v>
      </c>
      <c r="Z151" s="364">
        <v>-77870.268944000025</v>
      </c>
      <c r="AA151" s="369">
        <v>-91678.677349999984</v>
      </c>
      <c r="AB151" s="505">
        <v>-104129.38619999998</v>
      </c>
      <c r="AC151" s="350">
        <f t="shared" ref="AC151:AC182" si="47">SUM(Y151:AB151)</f>
        <v>-339681.47673599998</v>
      </c>
      <c r="AG151" s="159">
        <f t="shared" ref="AG151:AG182" si="48">+AI151-W151</f>
        <v>0</v>
      </c>
      <c r="AI151" s="442" t="s">
        <v>414</v>
      </c>
      <c r="AJ151" t="s">
        <v>938</v>
      </c>
      <c r="AK151" s="364">
        <v>0</v>
      </c>
      <c r="AL151" s="364">
        <v>-77870.268944000025</v>
      </c>
      <c r="AM151" s="369">
        <v>-91678.677349999984</v>
      </c>
      <c r="AN151" s="505">
        <v>-104129.38619999998</v>
      </c>
      <c r="AO151" s="448">
        <v>-357958.65053600003</v>
      </c>
      <c r="AP151" s="448"/>
      <c r="AQ151" s="438"/>
      <c r="AR151" s="449">
        <f t="shared" si="40"/>
        <v>-273678.33249399997</v>
      </c>
      <c r="AS151" s="438"/>
      <c r="AT151" s="438"/>
      <c r="AU151" s="364">
        <v>-77870.268944000025</v>
      </c>
      <c r="AV151" s="369">
        <v>-91678.677349999984</v>
      </c>
      <c r="AW151" s="505">
        <v>-104129.38619999998</v>
      </c>
      <c r="AX151" s="452">
        <f t="shared" si="44"/>
        <v>-273678.33249399997</v>
      </c>
      <c r="AY151" s="250">
        <f t="shared" si="29"/>
        <v>0</v>
      </c>
      <c r="AZ151" s="439"/>
      <c r="BA151" s="582">
        <v>-106927.67164400002</v>
      </c>
      <c r="BB151" s="462">
        <f t="shared" si="45"/>
        <v>-380606.00413799996</v>
      </c>
      <c r="BC151" s="463">
        <f t="shared" si="37"/>
        <v>0</v>
      </c>
      <c r="BD151" s="431"/>
      <c r="BE151" s="435">
        <f t="shared" si="41"/>
        <v>0</v>
      </c>
    </row>
    <row r="152" spans="1:57" ht="15">
      <c r="A152" s="415">
        <v>146</v>
      </c>
      <c r="B152" s="415">
        <v>295</v>
      </c>
      <c r="C152" t="s">
        <v>677</v>
      </c>
      <c r="D152" t="s">
        <v>1055</v>
      </c>
      <c r="E152" s="364">
        <v>1283480.7538531341</v>
      </c>
      <c r="F152" s="364">
        <v>352.34159770321276</v>
      </c>
      <c r="G152" s="369">
        <v>13287.028187999735</v>
      </c>
      <c r="H152" s="364">
        <v>-73965.03319793893</v>
      </c>
      <c r="I152" s="350">
        <f t="shared" si="42"/>
        <v>1223155.0904408982</v>
      </c>
      <c r="K152" s="66">
        <f t="shared" si="43"/>
        <v>0</v>
      </c>
      <c r="L152" s="66"/>
      <c r="M152" s="415">
        <v>146</v>
      </c>
      <c r="N152" s="415">
        <v>295</v>
      </c>
      <c r="O152" s="66" t="s">
        <v>677</v>
      </c>
      <c r="P152" t="s">
        <v>1055</v>
      </c>
      <c r="Q152" s="364">
        <v>-73965.03319793893</v>
      </c>
      <c r="R152" t="s">
        <v>2580</v>
      </c>
      <c r="S152" s="250"/>
      <c r="T152" s="159">
        <f t="shared" si="46"/>
        <v>0</v>
      </c>
      <c r="U152" s="250"/>
      <c r="V152" s="415">
        <v>146</v>
      </c>
      <c r="W152" t="s">
        <v>677</v>
      </c>
      <c r="X152" t="s">
        <v>1055</v>
      </c>
      <c r="Y152" s="364">
        <v>627476.65214182879</v>
      </c>
      <c r="Z152" s="364">
        <v>656004.10171130532</v>
      </c>
      <c r="AA152" s="369">
        <v>352.34159770321276</v>
      </c>
      <c r="AB152" s="505">
        <v>13287.028187999735</v>
      </c>
      <c r="AC152" s="350">
        <f t="shared" si="47"/>
        <v>1297120.1236388371</v>
      </c>
      <c r="AG152" s="159">
        <f t="shared" si="48"/>
        <v>0</v>
      </c>
      <c r="AI152" s="442" t="s">
        <v>677</v>
      </c>
      <c r="AJ152" t="s">
        <v>1055</v>
      </c>
      <c r="AK152" s="364">
        <v>0</v>
      </c>
      <c r="AL152" s="364">
        <v>1283480.7538531341</v>
      </c>
      <c r="AM152" s="369">
        <v>352.34159770321276</v>
      </c>
      <c r="AN152" s="505">
        <v>13287.028187999735</v>
      </c>
      <c r="AO152" s="448">
        <v>1283833.0954508374</v>
      </c>
      <c r="AP152" s="448">
        <f>+AK152+AL152</f>
        <v>1283480.7538531341</v>
      </c>
      <c r="AQ152" s="438"/>
      <c r="AR152" s="449">
        <f t="shared" si="40"/>
        <v>1297120.1236388371</v>
      </c>
      <c r="AS152" s="438"/>
      <c r="AT152" s="438"/>
      <c r="AU152" s="364">
        <v>1283480.7538531341</v>
      </c>
      <c r="AV152" s="369">
        <v>352.34159770321276</v>
      </c>
      <c r="AW152" s="505">
        <v>13287.028187999735</v>
      </c>
      <c r="AX152" s="452">
        <f t="shared" si="44"/>
        <v>1297120.1236388371</v>
      </c>
      <c r="AY152" s="250">
        <f t="shared" ref="AY152:AY153" si="49">+AX152-AR152</f>
        <v>0</v>
      </c>
      <c r="AZ152" s="439"/>
      <c r="BA152" s="582">
        <v>-73965.03319793893</v>
      </c>
      <c r="BB152" s="462">
        <f t="shared" si="45"/>
        <v>1223155.0904408982</v>
      </c>
      <c r="BC152" s="463">
        <f t="shared" si="37"/>
        <v>0</v>
      </c>
      <c r="BD152" s="431"/>
      <c r="BE152" s="435">
        <f t="shared" si="41"/>
        <v>0</v>
      </c>
    </row>
    <row r="153" spans="1:57" ht="15">
      <c r="A153" s="415">
        <v>147</v>
      </c>
      <c r="B153" s="415">
        <v>319</v>
      </c>
      <c r="C153" t="s">
        <v>720</v>
      </c>
      <c r="D153" t="s">
        <v>1072</v>
      </c>
      <c r="E153" s="364">
        <v>141124.6587999998</v>
      </c>
      <c r="F153" s="364">
        <v>41131.091314000092</v>
      </c>
      <c r="G153" s="369">
        <v>-83271.908752000076</v>
      </c>
      <c r="H153" s="364">
        <v>-173331.71332800004</v>
      </c>
      <c r="I153" s="350">
        <f t="shared" si="42"/>
        <v>-74347.871966000239</v>
      </c>
      <c r="K153" s="66">
        <f t="shared" si="43"/>
        <v>0</v>
      </c>
      <c r="L153" s="66"/>
      <c r="M153" s="415">
        <v>147</v>
      </c>
      <c r="N153" s="415">
        <v>319</v>
      </c>
      <c r="O153" s="66" t="s">
        <v>720</v>
      </c>
      <c r="P153" t="s">
        <v>1072</v>
      </c>
      <c r="Q153" s="364">
        <v>-173331.71332800004</v>
      </c>
      <c r="R153" t="s">
        <v>2580</v>
      </c>
      <c r="S153" s="250"/>
      <c r="T153" s="159">
        <f t="shared" si="46"/>
        <v>0</v>
      </c>
      <c r="U153" s="250"/>
      <c r="V153" s="415">
        <v>147</v>
      </c>
      <c r="W153" t="s">
        <v>720</v>
      </c>
      <c r="X153" t="s">
        <v>1072</v>
      </c>
      <c r="Y153" s="364">
        <v>59767.158399999782</v>
      </c>
      <c r="Z153" s="364">
        <v>81357.500400000019</v>
      </c>
      <c r="AA153" s="369">
        <v>41131.091314000092</v>
      </c>
      <c r="AB153" s="505">
        <v>-83271.908752000076</v>
      </c>
      <c r="AC153" s="350">
        <f t="shared" si="47"/>
        <v>98983.841361999803</v>
      </c>
      <c r="AG153" s="159">
        <f t="shared" si="48"/>
        <v>0</v>
      </c>
      <c r="AI153" s="442" t="s">
        <v>720</v>
      </c>
      <c r="AJ153" t="s">
        <v>1072</v>
      </c>
      <c r="AK153" s="364">
        <v>0</v>
      </c>
      <c r="AL153" s="364">
        <v>141124.6587999998</v>
      </c>
      <c r="AM153" s="369">
        <v>41131.091314000092</v>
      </c>
      <c r="AN153" s="505">
        <v>-83271.908752000076</v>
      </c>
      <c r="AO153" s="448">
        <v>182255.75011399988</v>
      </c>
      <c r="AP153" s="448">
        <f>+AK153+AL153</f>
        <v>141124.6587999998</v>
      </c>
      <c r="AQ153" s="438"/>
      <c r="AR153" s="449">
        <f t="shared" si="40"/>
        <v>98983.841361999803</v>
      </c>
      <c r="AS153" s="438"/>
      <c r="AT153" s="438"/>
      <c r="AU153" s="364">
        <v>141124.6587999998</v>
      </c>
      <c r="AV153" s="369">
        <v>41131.091314000092</v>
      </c>
      <c r="AW153" s="505">
        <v>-83271.908752000076</v>
      </c>
      <c r="AX153" s="452">
        <f t="shared" si="44"/>
        <v>98983.841361999803</v>
      </c>
      <c r="AY153" s="250">
        <f t="shared" si="49"/>
        <v>0</v>
      </c>
      <c r="AZ153" s="439"/>
      <c r="BA153" s="582">
        <v>-173331.71332800004</v>
      </c>
      <c r="BB153" s="462">
        <f t="shared" si="45"/>
        <v>-74347.871966000239</v>
      </c>
      <c r="BC153" s="463">
        <f t="shared" si="37"/>
        <v>0</v>
      </c>
      <c r="BD153" s="431"/>
      <c r="BE153" s="435">
        <f t="shared" si="41"/>
        <v>0</v>
      </c>
    </row>
    <row r="154" spans="1:57" ht="15">
      <c r="A154" s="415">
        <v>148</v>
      </c>
      <c r="B154" s="415">
        <v>53</v>
      </c>
      <c r="C154" t="s">
        <v>253</v>
      </c>
      <c r="D154" t="s">
        <v>867</v>
      </c>
      <c r="E154" s="364">
        <v>-48677.278245000009</v>
      </c>
      <c r="F154" s="364">
        <v>-71811.46661600002</v>
      </c>
      <c r="G154" s="369">
        <v>-89033.139156000019</v>
      </c>
      <c r="H154" s="364">
        <v>-86470.572092999995</v>
      </c>
      <c r="I154" s="350">
        <f t="shared" si="42"/>
        <v>-295992.45611000003</v>
      </c>
      <c r="K154" s="66">
        <f t="shared" si="43"/>
        <v>0</v>
      </c>
      <c r="L154" s="66"/>
      <c r="M154" s="415">
        <v>148</v>
      </c>
      <c r="N154" s="415">
        <v>53</v>
      </c>
      <c r="O154" s="66" t="s">
        <v>253</v>
      </c>
      <c r="P154" t="s">
        <v>867</v>
      </c>
      <c r="Q154" s="364">
        <v>-86470.572092999995</v>
      </c>
      <c r="R154" t="s">
        <v>2580</v>
      </c>
      <c r="S154" s="250"/>
      <c r="T154" s="159">
        <f t="shared" si="46"/>
        <v>0</v>
      </c>
      <c r="U154" s="250"/>
      <c r="V154" s="415">
        <v>148</v>
      </c>
      <c r="W154" t="s">
        <v>253</v>
      </c>
      <c r="X154" t="s">
        <v>867</v>
      </c>
      <c r="Y154" s="364">
        <v>-57975.438483999998</v>
      </c>
      <c r="Z154" s="364">
        <v>-48677.278245000009</v>
      </c>
      <c r="AA154" s="369">
        <v>-71811.46661600002</v>
      </c>
      <c r="AB154" s="505">
        <v>-89033.139156000019</v>
      </c>
      <c r="AC154" s="350">
        <f t="shared" si="47"/>
        <v>-267497.32250100002</v>
      </c>
      <c r="AG154" s="159">
        <f t="shared" si="48"/>
        <v>0</v>
      </c>
      <c r="AI154" s="442" t="s">
        <v>253</v>
      </c>
      <c r="AJ154" t="s">
        <v>867</v>
      </c>
      <c r="AK154" s="364">
        <v>0</v>
      </c>
      <c r="AL154" s="364">
        <v>-48677.278245000009</v>
      </c>
      <c r="AM154" s="369">
        <v>-71811.46661600002</v>
      </c>
      <c r="AN154" s="505">
        <v>-89033.139156000019</v>
      </c>
      <c r="AO154" s="448">
        <v>-257684.34334500003</v>
      </c>
      <c r="AP154" s="448"/>
      <c r="AQ154" s="438"/>
      <c r="AR154" s="449">
        <f t="shared" si="40"/>
        <v>-209521.88401700003</v>
      </c>
      <c r="AS154" s="438"/>
      <c r="AT154" s="438"/>
      <c r="AU154" s="364">
        <v>-48677.278245000009</v>
      </c>
      <c r="AV154" s="369">
        <v>-71811.46661600002</v>
      </c>
      <c r="AW154" s="505">
        <v>-89033.139156000019</v>
      </c>
      <c r="AX154" s="452">
        <f t="shared" si="44"/>
        <v>-209521.88401700003</v>
      </c>
      <c r="AY154" s="250">
        <f>+AX154-AR154</f>
        <v>0</v>
      </c>
      <c r="AZ154" s="439"/>
      <c r="BA154" s="582">
        <v>-86470.572092999995</v>
      </c>
      <c r="BB154" s="462">
        <f t="shared" si="45"/>
        <v>-295992.45611000003</v>
      </c>
      <c r="BC154" s="463">
        <f t="shared" si="37"/>
        <v>0</v>
      </c>
      <c r="BD154" s="431"/>
      <c r="BE154" s="435">
        <f t="shared" si="41"/>
        <v>0</v>
      </c>
    </row>
    <row r="155" spans="1:57" ht="15">
      <c r="A155" s="415">
        <v>149</v>
      </c>
      <c r="B155" s="415">
        <v>14</v>
      </c>
      <c r="C155" t="s">
        <v>189</v>
      </c>
      <c r="D155" t="s">
        <v>838</v>
      </c>
      <c r="E155" s="364">
        <v>-122826.52264000016</v>
      </c>
      <c r="F155" s="364">
        <v>-158400.60794000002</v>
      </c>
      <c r="G155" s="369">
        <v>-94167.143662000075</v>
      </c>
      <c r="H155" s="364">
        <v>-148357.56185900012</v>
      </c>
      <c r="I155" s="350">
        <f t="shared" si="42"/>
        <v>-523751.83610100037</v>
      </c>
      <c r="K155" s="66">
        <f t="shared" si="43"/>
        <v>0</v>
      </c>
      <c r="L155" s="66"/>
      <c r="M155" s="415">
        <v>149</v>
      </c>
      <c r="N155" s="415">
        <v>14</v>
      </c>
      <c r="O155" s="66" t="s">
        <v>189</v>
      </c>
      <c r="P155" t="s">
        <v>838</v>
      </c>
      <c r="Q155" s="364">
        <v>-148357.56185900012</v>
      </c>
      <c r="R155" t="s">
        <v>2580</v>
      </c>
      <c r="S155" s="250"/>
      <c r="T155" s="159">
        <f t="shared" si="46"/>
        <v>0</v>
      </c>
      <c r="U155" s="250"/>
      <c r="V155" s="415">
        <v>149</v>
      </c>
      <c r="W155" t="s">
        <v>189</v>
      </c>
      <c r="X155" t="s">
        <v>838</v>
      </c>
      <c r="Y155" s="364">
        <v>-60262.116419999948</v>
      </c>
      <c r="Z155" s="364">
        <v>-122826.52264000016</v>
      </c>
      <c r="AA155" s="369">
        <v>-158400.60794000002</v>
      </c>
      <c r="AB155" s="505">
        <v>-94167.143662000075</v>
      </c>
      <c r="AC155" s="350">
        <f t="shared" si="47"/>
        <v>-435656.39066200017</v>
      </c>
      <c r="AG155" s="159">
        <f t="shared" si="48"/>
        <v>0</v>
      </c>
      <c r="AI155" s="442" t="s">
        <v>189</v>
      </c>
      <c r="AJ155" t="s">
        <v>838</v>
      </c>
      <c r="AK155" s="364">
        <v>0</v>
      </c>
      <c r="AL155" s="364">
        <v>-122826.52264000016</v>
      </c>
      <c r="AM155" s="369">
        <v>-158400.60794000002</v>
      </c>
      <c r="AN155" s="505">
        <v>-94167.143662000075</v>
      </c>
      <c r="AO155" s="448">
        <v>-521353.72700000013</v>
      </c>
      <c r="AP155" s="448"/>
      <c r="AQ155" s="438"/>
      <c r="AR155" s="449">
        <f t="shared" si="40"/>
        <v>-375394.27424200025</v>
      </c>
      <c r="AS155" s="438"/>
      <c r="AT155" s="438"/>
      <c r="AU155" s="364">
        <v>-122826.52264000016</v>
      </c>
      <c r="AV155" s="369">
        <v>-158400.60794000002</v>
      </c>
      <c r="AW155" s="505">
        <v>-94167.143662000075</v>
      </c>
      <c r="AX155" s="452">
        <f t="shared" si="44"/>
        <v>-375394.27424200025</v>
      </c>
      <c r="AY155" s="250">
        <f>+AX155-AR155</f>
        <v>0</v>
      </c>
      <c r="AZ155" s="439"/>
      <c r="BA155" s="582">
        <v>-148357.56185900012</v>
      </c>
      <c r="BB155" s="462">
        <f t="shared" si="45"/>
        <v>-523751.83610100037</v>
      </c>
      <c r="BC155" s="463">
        <f t="shared" si="37"/>
        <v>0</v>
      </c>
      <c r="BD155" s="431"/>
      <c r="BE155" s="435">
        <f t="shared" si="41"/>
        <v>0</v>
      </c>
    </row>
    <row r="156" spans="1:57" ht="15">
      <c r="A156" s="415">
        <v>150</v>
      </c>
      <c r="B156" s="415">
        <v>174</v>
      </c>
      <c r="C156" t="s">
        <v>464</v>
      </c>
      <c r="D156" t="s">
        <v>961</v>
      </c>
      <c r="E156" s="364">
        <v>-48385.056183999986</v>
      </c>
      <c r="F156" s="364">
        <v>-40631.699431999965</v>
      </c>
      <c r="G156" s="369">
        <v>-45372.239059999964</v>
      </c>
      <c r="H156" s="364">
        <v>-122442.97450099999</v>
      </c>
      <c r="I156" s="350">
        <f t="shared" si="42"/>
        <v>-256831.9691769999</v>
      </c>
      <c r="K156" s="66">
        <f t="shared" si="43"/>
        <v>0</v>
      </c>
      <c r="L156" s="66"/>
      <c r="M156" s="415">
        <v>150</v>
      </c>
      <c r="N156" s="415">
        <v>174</v>
      </c>
      <c r="O156" s="66" t="s">
        <v>464</v>
      </c>
      <c r="P156" t="s">
        <v>961</v>
      </c>
      <c r="Q156" s="364">
        <v>-122442.97450099999</v>
      </c>
      <c r="R156" t="s">
        <v>2580</v>
      </c>
      <c r="S156" s="250"/>
      <c r="T156" s="159">
        <f t="shared" si="46"/>
        <v>0</v>
      </c>
      <c r="U156" s="250"/>
      <c r="V156" s="415">
        <v>150</v>
      </c>
      <c r="W156" t="s">
        <v>464</v>
      </c>
      <c r="X156" t="s">
        <v>961</v>
      </c>
      <c r="Y156" s="364">
        <v>-72728.420000000027</v>
      </c>
      <c r="Z156" s="364">
        <v>-48385.056183999986</v>
      </c>
      <c r="AA156" s="369">
        <v>-40631.699431999965</v>
      </c>
      <c r="AB156" s="505">
        <v>-45372.239059999964</v>
      </c>
      <c r="AC156" s="350">
        <f t="shared" si="47"/>
        <v>-207117.41467599993</v>
      </c>
      <c r="AG156" s="159">
        <f t="shared" si="48"/>
        <v>0</v>
      </c>
      <c r="AI156" s="442" t="s">
        <v>464</v>
      </c>
      <c r="AJ156" t="s">
        <v>961</v>
      </c>
      <c r="AK156" s="364">
        <v>0</v>
      </c>
      <c r="AL156" s="364">
        <v>-48385.056183999986</v>
      </c>
      <c r="AM156" s="369">
        <v>-40631.699431999965</v>
      </c>
      <c r="AN156" s="505">
        <v>-45372.239059999964</v>
      </c>
      <c r="AO156" s="448">
        <v>-226909.93561599997</v>
      </c>
      <c r="AP156" s="448"/>
      <c r="AQ156" s="438"/>
      <c r="AR156" s="449">
        <f t="shared" si="40"/>
        <v>-134388.99467599991</v>
      </c>
      <c r="AS156" s="438"/>
      <c r="AT156" s="438"/>
      <c r="AU156" s="364">
        <v>-48385.056183999986</v>
      </c>
      <c r="AV156" s="369">
        <v>-40631.699431999965</v>
      </c>
      <c r="AW156" s="505">
        <v>-45372.239059999964</v>
      </c>
      <c r="AX156" s="452">
        <f t="shared" si="44"/>
        <v>-134388.99467599991</v>
      </c>
      <c r="AY156" s="250">
        <f t="shared" ref="AY156:AY219" si="50">+AX156-AR156</f>
        <v>0</v>
      </c>
      <c r="AZ156" s="439"/>
      <c r="BA156" s="582">
        <v>-122442.97450099999</v>
      </c>
      <c r="BB156" s="462">
        <f t="shared" si="45"/>
        <v>-256831.9691769999</v>
      </c>
      <c r="BC156" s="463">
        <f t="shared" si="37"/>
        <v>0</v>
      </c>
      <c r="BD156" s="431"/>
      <c r="BE156" s="435">
        <f t="shared" si="41"/>
        <v>0</v>
      </c>
    </row>
    <row r="157" spans="1:57" ht="15">
      <c r="A157" s="415">
        <v>151</v>
      </c>
      <c r="B157" s="415">
        <v>271</v>
      </c>
      <c r="C157" t="s">
        <v>634</v>
      </c>
      <c r="D157" t="s">
        <v>1034</v>
      </c>
      <c r="E157" s="364">
        <v>139971.17480800004</v>
      </c>
      <c r="F157" s="364">
        <v>45022.445359999976</v>
      </c>
      <c r="G157" s="369">
        <v>25616.55359200004</v>
      </c>
      <c r="H157" s="364">
        <v>-82690.759510000004</v>
      </c>
      <c r="I157" s="350">
        <f t="shared" si="42"/>
        <v>127919.41425000006</v>
      </c>
      <c r="K157" s="66">
        <f t="shared" si="43"/>
        <v>0</v>
      </c>
      <c r="L157" s="66"/>
      <c r="M157" s="415">
        <v>151</v>
      </c>
      <c r="N157" s="415">
        <v>271</v>
      </c>
      <c r="O157" s="66" t="s">
        <v>634</v>
      </c>
      <c r="P157" t="s">
        <v>1034</v>
      </c>
      <c r="Q157" s="364">
        <v>-82690.759510000004</v>
      </c>
      <c r="R157" t="s">
        <v>2580</v>
      </c>
      <c r="S157" s="250"/>
      <c r="T157" s="159">
        <f t="shared" si="46"/>
        <v>0</v>
      </c>
      <c r="U157" s="250"/>
      <c r="V157" s="415">
        <v>151</v>
      </c>
      <c r="W157" t="s">
        <v>634</v>
      </c>
      <c r="X157" t="s">
        <v>1034</v>
      </c>
      <c r="Y157" s="364">
        <v>103597.49212500005</v>
      </c>
      <c r="Z157" s="364">
        <v>36373.682682999992</v>
      </c>
      <c r="AA157" s="369">
        <v>45022.445359999976</v>
      </c>
      <c r="AB157" s="505">
        <v>25616.55359200004</v>
      </c>
      <c r="AC157" s="350">
        <f t="shared" si="47"/>
        <v>210610.17376000006</v>
      </c>
      <c r="AG157" s="159">
        <f t="shared" si="48"/>
        <v>0</v>
      </c>
      <c r="AI157" s="442" t="s">
        <v>634</v>
      </c>
      <c r="AJ157" t="s">
        <v>1034</v>
      </c>
      <c r="AK157" s="364">
        <v>0</v>
      </c>
      <c r="AL157" s="364">
        <v>139971.17480800004</v>
      </c>
      <c r="AM157" s="369">
        <v>45022.445359999976</v>
      </c>
      <c r="AN157" s="505">
        <v>25616.55359200004</v>
      </c>
      <c r="AO157" s="448">
        <v>184993.62016800002</v>
      </c>
      <c r="AP157" s="448">
        <f>+AK157+AL157</f>
        <v>139971.17480800004</v>
      </c>
      <c r="AQ157" s="438"/>
      <c r="AR157" s="449">
        <f t="shared" ref="AR157:AR188" si="51">SUM(AL157:AN157)</f>
        <v>210610.17376000006</v>
      </c>
      <c r="AS157" s="438"/>
      <c r="AT157" s="438"/>
      <c r="AU157" s="364">
        <v>139971.17480800004</v>
      </c>
      <c r="AV157" s="369">
        <v>45022.445359999976</v>
      </c>
      <c r="AW157" s="505">
        <v>25616.55359200004</v>
      </c>
      <c r="AX157" s="452">
        <f t="shared" si="44"/>
        <v>210610.17376000006</v>
      </c>
      <c r="AY157" s="250">
        <f t="shared" si="50"/>
        <v>0</v>
      </c>
      <c r="AZ157" s="439"/>
      <c r="BA157" s="582">
        <v>-82690.759510000004</v>
      </c>
      <c r="BB157" s="462">
        <f t="shared" si="45"/>
        <v>127919.41425000006</v>
      </c>
      <c r="BC157" s="463">
        <f t="shared" si="37"/>
        <v>0</v>
      </c>
      <c r="BD157" s="431"/>
      <c r="BE157" s="435">
        <f t="shared" si="41"/>
        <v>0</v>
      </c>
    </row>
    <row r="158" spans="1:57" ht="15">
      <c r="A158" s="415">
        <v>152</v>
      </c>
      <c r="B158" s="415">
        <v>235</v>
      </c>
      <c r="C158" t="s">
        <v>574</v>
      </c>
      <c r="D158" t="s">
        <v>1009</v>
      </c>
      <c r="E158" s="364">
        <v>0</v>
      </c>
      <c r="F158" s="364">
        <v>0</v>
      </c>
      <c r="G158" s="369">
        <v>-558821.29720000084</v>
      </c>
      <c r="H158" s="364">
        <v>-612439.05409179255</v>
      </c>
      <c r="I158" s="350">
        <f t="shared" si="42"/>
        <v>-1171260.3512917934</v>
      </c>
      <c r="K158" s="66">
        <f t="shared" si="43"/>
        <v>0</v>
      </c>
      <c r="L158" s="66"/>
      <c r="M158" s="415">
        <v>152</v>
      </c>
      <c r="N158" s="415">
        <v>235</v>
      </c>
      <c r="O158" s="66" t="s">
        <v>574</v>
      </c>
      <c r="P158" t="s">
        <v>1009</v>
      </c>
      <c r="Q158" s="364">
        <v>-612439.05409179255</v>
      </c>
      <c r="R158" t="s">
        <v>2580</v>
      </c>
      <c r="S158" s="250"/>
      <c r="T158" s="159">
        <f t="shared" si="46"/>
        <v>0</v>
      </c>
      <c r="U158" s="250"/>
      <c r="V158" s="415">
        <v>152</v>
      </c>
      <c r="W158" t="s">
        <v>574</v>
      </c>
      <c r="X158" t="s">
        <v>1009</v>
      </c>
      <c r="Y158" s="364">
        <v>-261545.88486164337</v>
      </c>
      <c r="Z158" s="364">
        <v>0</v>
      </c>
      <c r="AA158" s="369">
        <v>0</v>
      </c>
      <c r="AB158" s="505">
        <v>-558821.29720000084</v>
      </c>
      <c r="AC158" s="350">
        <f t="shared" si="47"/>
        <v>-820367.18206164427</v>
      </c>
      <c r="AG158" s="159">
        <f t="shared" si="48"/>
        <v>0</v>
      </c>
      <c r="AI158" s="442" t="s">
        <v>574</v>
      </c>
      <c r="AJ158" t="s">
        <v>1009</v>
      </c>
      <c r="AK158" s="364">
        <v>0</v>
      </c>
      <c r="AL158" s="364">
        <v>0</v>
      </c>
      <c r="AM158" s="369">
        <v>0</v>
      </c>
      <c r="AN158" s="505">
        <v>-558821.29720000084</v>
      </c>
      <c r="AO158" s="448">
        <v>-373018.80455913232</v>
      </c>
      <c r="AP158" s="448"/>
      <c r="AQ158" s="438"/>
      <c r="AR158" s="449">
        <f t="shared" si="51"/>
        <v>-558821.29720000084</v>
      </c>
      <c r="AS158" s="438"/>
      <c r="AT158" s="438"/>
      <c r="AU158" s="364">
        <v>0</v>
      </c>
      <c r="AV158" s="369">
        <v>0</v>
      </c>
      <c r="AW158" s="505">
        <v>-558821.29720000084</v>
      </c>
      <c r="AX158" s="452">
        <f t="shared" si="44"/>
        <v>-558821.29720000084</v>
      </c>
      <c r="AY158" s="250">
        <f t="shared" si="50"/>
        <v>0</v>
      </c>
      <c r="AZ158" s="439"/>
      <c r="BA158" s="582">
        <v>-612439.05409179255</v>
      </c>
      <c r="BB158" s="462">
        <f t="shared" si="45"/>
        <v>-1171260.3512917934</v>
      </c>
      <c r="BC158" s="463">
        <f t="shared" si="37"/>
        <v>0</v>
      </c>
      <c r="BD158" s="431"/>
      <c r="BE158" s="435">
        <f t="shared" si="41"/>
        <v>0</v>
      </c>
    </row>
    <row r="159" spans="1:57" ht="15">
      <c r="A159" s="415">
        <v>153</v>
      </c>
      <c r="B159" s="415">
        <v>79</v>
      </c>
      <c r="C159" t="s">
        <v>303</v>
      </c>
      <c r="D159" t="s">
        <v>1612</v>
      </c>
      <c r="E159" s="364">
        <v>0</v>
      </c>
      <c r="F159" s="364">
        <v>-56800.895652000021</v>
      </c>
      <c r="G159" s="369">
        <v>-81800.349408000009</v>
      </c>
      <c r="H159" s="364">
        <v>-81675.958408000006</v>
      </c>
      <c r="I159" s="350">
        <f t="shared" si="42"/>
        <v>-220277.20346800005</v>
      </c>
      <c r="K159" s="66">
        <f t="shared" si="43"/>
        <v>0</v>
      </c>
      <c r="L159" s="66"/>
      <c r="M159" s="415">
        <v>153</v>
      </c>
      <c r="N159" s="415">
        <v>79</v>
      </c>
      <c r="O159" s="66" t="s">
        <v>303</v>
      </c>
      <c r="P159" t="s">
        <v>1612</v>
      </c>
      <c r="Q159" s="364">
        <v>-81675.958408000006</v>
      </c>
      <c r="R159" t="s">
        <v>2580</v>
      </c>
      <c r="S159" s="250"/>
      <c r="T159" s="159">
        <f t="shared" si="46"/>
        <v>0</v>
      </c>
      <c r="U159" s="250"/>
      <c r="V159" s="415">
        <v>153</v>
      </c>
      <c r="W159" t="s">
        <v>303</v>
      </c>
      <c r="X159" t="s">
        <v>1612</v>
      </c>
      <c r="Y159" s="364">
        <v>-25419.127711999983</v>
      </c>
      <c r="Z159" s="364">
        <v>-60714.005157999985</v>
      </c>
      <c r="AA159" s="369">
        <v>-56800.895652000021</v>
      </c>
      <c r="AB159" s="505">
        <v>-81800.349408000009</v>
      </c>
      <c r="AC159" s="350">
        <f t="shared" si="47"/>
        <v>-224734.37793000002</v>
      </c>
      <c r="AG159" s="159">
        <f t="shared" si="48"/>
        <v>0</v>
      </c>
      <c r="AI159" s="442" t="s">
        <v>303</v>
      </c>
      <c r="AJ159" t="s">
        <v>1612</v>
      </c>
      <c r="AK159" s="364">
        <v>0</v>
      </c>
      <c r="AL159" s="364">
        <v>0</v>
      </c>
      <c r="AM159" s="369">
        <v>-56800.895652000021</v>
      </c>
      <c r="AN159" s="505">
        <v>-81800.349408000009</v>
      </c>
      <c r="AO159" s="448">
        <v>-233573.41852200002</v>
      </c>
      <c r="AP159" s="448"/>
      <c r="AQ159" s="438"/>
      <c r="AR159" s="449">
        <f t="shared" si="51"/>
        <v>-138601.24506000004</v>
      </c>
      <c r="AS159" s="438"/>
      <c r="AT159" s="438"/>
      <c r="AU159" s="364">
        <v>0</v>
      </c>
      <c r="AV159" s="369">
        <v>-56800.895652000021</v>
      </c>
      <c r="AW159" s="505">
        <v>-81800.349408000009</v>
      </c>
      <c r="AX159" s="452">
        <f t="shared" si="44"/>
        <v>-138601.24506000004</v>
      </c>
      <c r="AY159" s="250">
        <f t="shared" si="50"/>
        <v>0</v>
      </c>
      <c r="AZ159" s="439"/>
      <c r="BA159" s="582">
        <v>-81675.958408000006</v>
      </c>
      <c r="BB159" s="462">
        <f t="shared" si="45"/>
        <v>-220277.20346800005</v>
      </c>
      <c r="BC159" s="463">
        <f t="shared" si="37"/>
        <v>0</v>
      </c>
      <c r="BD159" s="431"/>
      <c r="BE159" s="435">
        <f t="shared" si="41"/>
        <v>0</v>
      </c>
    </row>
    <row r="160" spans="1:57" ht="15">
      <c r="A160" s="415">
        <v>154</v>
      </c>
      <c r="B160" s="415">
        <v>249</v>
      </c>
      <c r="C160" t="s">
        <v>602</v>
      </c>
      <c r="D160" t="s">
        <v>1020</v>
      </c>
      <c r="E160" s="364">
        <v>1734343.0673772106</v>
      </c>
      <c r="F160" s="364">
        <v>355801.84511667694</v>
      </c>
      <c r="G160" s="369">
        <v>-289295.614604</v>
      </c>
      <c r="H160" s="364">
        <v>177824.44575762656</v>
      </c>
      <c r="I160" s="350">
        <f t="shared" si="42"/>
        <v>1978673.7436475141</v>
      </c>
      <c r="K160" s="66">
        <f t="shared" si="43"/>
        <v>0</v>
      </c>
      <c r="L160" s="66"/>
      <c r="M160" s="415">
        <v>154</v>
      </c>
      <c r="N160" s="415">
        <v>249</v>
      </c>
      <c r="O160" s="66" t="s">
        <v>602</v>
      </c>
      <c r="P160" t="s">
        <v>1020</v>
      </c>
      <c r="Q160" s="364">
        <v>177824.44575762656</v>
      </c>
      <c r="R160" t="s">
        <v>2580</v>
      </c>
      <c r="S160" s="250"/>
      <c r="T160" s="159">
        <f t="shared" si="46"/>
        <v>0</v>
      </c>
      <c r="U160" s="250"/>
      <c r="V160" s="415">
        <v>154</v>
      </c>
      <c r="W160" t="s">
        <v>602</v>
      </c>
      <c r="X160" t="s">
        <v>1020</v>
      </c>
      <c r="Y160" s="364">
        <v>297037.0032236884</v>
      </c>
      <c r="Z160" s="364">
        <v>1437306.0641535223</v>
      </c>
      <c r="AA160" s="369">
        <v>355801.84511667694</v>
      </c>
      <c r="AB160" s="505">
        <v>-289295.614604</v>
      </c>
      <c r="AC160" s="350">
        <f t="shared" si="47"/>
        <v>1800849.2978898876</v>
      </c>
      <c r="AG160" s="159">
        <f t="shared" si="48"/>
        <v>0</v>
      </c>
      <c r="AI160" s="442" t="s">
        <v>602</v>
      </c>
      <c r="AJ160" t="s">
        <v>1020</v>
      </c>
      <c r="AK160" s="364">
        <v>0</v>
      </c>
      <c r="AL160" s="364">
        <v>1734343.0673772106</v>
      </c>
      <c r="AM160" s="369">
        <v>355801.84511667694</v>
      </c>
      <c r="AN160" s="505">
        <v>-289295.614604</v>
      </c>
      <c r="AO160" s="448">
        <v>2090144.9124938876</v>
      </c>
      <c r="AP160" s="448">
        <f>+AK160+AL160</f>
        <v>1734343.0673772106</v>
      </c>
      <c r="AQ160" s="438"/>
      <c r="AR160" s="449">
        <f t="shared" si="51"/>
        <v>1800849.2978898876</v>
      </c>
      <c r="AS160" s="438"/>
      <c r="AT160" s="438"/>
      <c r="AU160" s="364">
        <v>1734343.0673772106</v>
      </c>
      <c r="AV160" s="369">
        <v>355801.84511667694</v>
      </c>
      <c r="AW160" s="505">
        <v>-289295.614604</v>
      </c>
      <c r="AX160" s="452">
        <f t="shared" si="44"/>
        <v>1800849.2978898876</v>
      </c>
      <c r="AY160" s="250">
        <f t="shared" si="50"/>
        <v>0</v>
      </c>
      <c r="AZ160" s="439"/>
      <c r="BA160" s="582">
        <v>177824.44575762656</v>
      </c>
      <c r="BB160" s="462">
        <f t="shared" si="45"/>
        <v>1978673.7436475141</v>
      </c>
      <c r="BC160" s="463">
        <f t="shared" si="37"/>
        <v>0</v>
      </c>
      <c r="BD160" s="431"/>
      <c r="BE160" s="435">
        <f t="shared" si="41"/>
        <v>0</v>
      </c>
    </row>
    <row r="161" spans="1:57" ht="15">
      <c r="A161" s="415">
        <v>155</v>
      </c>
      <c r="B161" s="415">
        <v>248</v>
      </c>
      <c r="C161" t="s">
        <v>600</v>
      </c>
      <c r="D161" t="s">
        <v>1019</v>
      </c>
      <c r="E161" s="364">
        <v>-186917.21016899985</v>
      </c>
      <c r="F161" s="364">
        <v>-418107.49812400009</v>
      </c>
      <c r="G161" s="369">
        <v>-548041.23189999978</v>
      </c>
      <c r="H161" s="364">
        <v>-524822.49496000027</v>
      </c>
      <c r="I161" s="350">
        <f t="shared" si="42"/>
        <v>-1677888.4351530001</v>
      </c>
      <c r="K161" s="66">
        <f t="shared" si="43"/>
        <v>0</v>
      </c>
      <c r="L161" s="66"/>
      <c r="M161" s="415">
        <v>155</v>
      </c>
      <c r="N161" s="415">
        <v>248</v>
      </c>
      <c r="O161" s="66" t="s">
        <v>600</v>
      </c>
      <c r="P161" t="s">
        <v>1019</v>
      </c>
      <c r="Q161" s="364">
        <v>-524822.49496000027</v>
      </c>
      <c r="R161" t="s">
        <v>2580</v>
      </c>
      <c r="S161" s="250"/>
      <c r="T161" s="159">
        <f t="shared" si="46"/>
        <v>0</v>
      </c>
      <c r="U161" s="250"/>
      <c r="V161" s="415">
        <v>155</v>
      </c>
      <c r="W161" t="s">
        <v>600</v>
      </c>
      <c r="X161" t="s">
        <v>1019</v>
      </c>
      <c r="Y161" s="364">
        <v>-231544.20767500001</v>
      </c>
      <c r="Z161" s="364">
        <v>-186917.21016899985</v>
      </c>
      <c r="AA161" s="369">
        <v>-418107.49812400009</v>
      </c>
      <c r="AB161" s="505">
        <v>-548041.23189999978</v>
      </c>
      <c r="AC161" s="350">
        <f t="shared" si="47"/>
        <v>-1384610.1478679997</v>
      </c>
      <c r="AG161" s="159">
        <f t="shared" si="48"/>
        <v>0</v>
      </c>
      <c r="AI161" s="442" t="s">
        <v>600</v>
      </c>
      <c r="AJ161" t="s">
        <v>1019</v>
      </c>
      <c r="AK161" s="364">
        <v>0</v>
      </c>
      <c r="AL161" s="364">
        <v>-186917.21016899985</v>
      </c>
      <c r="AM161" s="369">
        <v>-418107.49812400009</v>
      </c>
      <c r="AN161" s="505">
        <v>-548041.23189999978</v>
      </c>
      <c r="AO161" s="448">
        <v>-1108492.6459679999</v>
      </c>
      <c r="AP161" s="448"/>
      <c r="AQ161" s="438"/>
      <c r="AR161" s="449">
        <f t="shared" si="51"/>
        <v>-1153065.9401929998</v>
      </c>
      <c r="AS161" s="438"/>
      <c r="AT161" s="438"/>
      <c r="AU161" s="364">
        <v>-186917.21016899985</v>
      </c>
      <c r="AV161" s="369">
        <v>-418107.49812400009</v>
      </c>
      <c r="AW161" s="505">
        <v>-548041.23189999978</v>
      </c>
      <c r="AX161" s="452">
        <f t="shared" si="44"/>
        <v>-1153065.9401929998</v>
      </c>
      <c r="AY161" s="250">
        <f t="shared" si="50"/>
        <v>0</v>
      </c>
      <c r="AZ161" s="439"/>
      <c r="BA161" s="582">
        <v>-524822.49496000027</v>
      </c>
      <c r="BB161" s="462">
        <f t="shared" si="45"/>
        <v>-1677888.4351530001</v>
      </c>
      <c r="BC161" s="463">
        <f t="shared" si="37"/>
        <v>0</v>
      </c>
      <c r="BD161" s="431"/>
      <c r="BE161" s="435">
        <f t="shared" si="41"/>
        <v>0</v>
      </c>
    </row>
    <row r="162" spans="1:57" ht="15">
      <c r="A162" s="415">
        <v>156</v>
      </c>
      <c r="B162" s="415">
        <v>100</v>
      </c>
      <c r="C162" t="s">
        <v>344</v>
      </c>
      <c r="D162" t="s">
        <v>909</v>
      </c>
      <c r="E162" s="364">
        <v>-91042.906208596658</v>
      </c>
      <c r="F162" s="364">
        <v>-433681.8898075528</v>
      </c>
      <c r="G162" s="369">
        <v>-40773.316009999719</v>
      </c>
      <c r="H162" s="364">
        <v>-280093.15807295963</v>
      </c>
      <c r="I162" s="350">
        <f t="shared" si="42"/>
        <v>-845591.27009910881</v>
      </c>
      <c r="K162" s="66">
        <f t="shared" si="43"/>
        <v>0</v>
      </c>
      <c r="L162" s="66"/>
      <c r="M162" s="415">
        <v>156</v>
      </c>
      <c r="N162" s="415">
        <v>100</v>
      </c>
      <c r="O162" s="66" t="s">
        <v>344</v>
      </c>
      <c r="P162" t="s">
        <v>909</v>
      </c>
      <c r="Q162" s="364">
        <v>-280093.15807295963</v>
      </c>
      <c r="R162" t="s">
        <v>2580</v>
      </c>
      <c r="S162" s="250"/>
      <c r="T162" s="159">
        <f t="shared" si="46"/>
        <v>0</v>
      </c>
      <c r="U162" s="250"/>
      <c r="V162" s="415">
        <v>156</v>
      </c>
      <c r="W162" t="s">
        <v>344</v>
      </c>
      <c r="X162" t="s">
        <v>909</v>
      </c>
      <c r="Y162" s="364">
        <v>0</v>
      </c>
      <c r="Z162" s="364">
        <v>-91042.906208596658</v>
      </c>
      <c r="AA162" s="369">
        <v>-433681.8898075528</v>
      </c>
      <c r="AB162" s="505">
        <v>-40773.316009999719</v>
      </c>
      <c r="AC162" s="350">
        <f t="shared" si="47"/>
        <v>-565498.11202614917</v>
      </c>
      <c r="AG162" s="159">
        <f t="shared" si="48"/>
        <v>0</v>
      </c>
      <c r="AI162" s="442" t="s">
        <v>344</v>
      </c>
      <c r="AJ162" t="s">
        <v>909</v>
      </c>
      <c r="AK162" s="364">
        <v>0</v>
      </c>
      <c r="AL162" s="364">
        <v>-91042.906208596658</v>
      </c>
      <c r="AM162" s="369">
        <v>-433681.8898075528</v>
      </c>
      <c r="AN162" s="505">
        <v>-40773.316009999719</v>
      </c>
      <c r="AO162" s="448">
        <v>-551754.4860161494</v>
      </c>
      <c r="AP162" s="448"/>
      <c r="AQ162" s="438"/>
      <c r="AR162" s="449">
        <f t="shared" si="51"/>
        <v>-565498.11202614917</v>
      </c>
      <c r="AS162" s="438"/>
      <c r="AT162" s="438"/>
      <c r="AU162" s="364">
        <v>-91042.906208596658</v>
      </c>
      <c r="AV162" s="369">
        <v>-433681.8898075528</v>
      </c>
      <c r="AW162" s="505">
        <v>-40773.316009999719</v>
      </c>
      <c r="AX162" s="452">
        <f t="shared" si="44"/>
        <v>-565498.11202614917</v>
      </c>
      <c r="AY162" s="250">
        <f t="shared" si="50"/>
        <v>0</v>
      </c>
      <c r="AZ162" s="439"/>
      <c r="BA162" s="582">
        <v>-280093.15807295963</v>
      </c>
      <c r="BB162" s="462">
        <f t="shared" si="45"/>
        <v>-845591.27009910881</v>
      </c>
      <c r="BC162" s="463">
        <f t="shared" si="37"/>
        <v>0</v>
      </c>
      <c r="BD162" s="431"/>
      <c r="BE162" s="435">
        <f t="shared" si="41"/>
        <v>0</v>
      </c>
    </row>
    <row r="163" spans="1:57" ht="15">
      <c r="A163" s="415">
        <v>157</v>
      </c>
      <c r="B163" s="415">
        <v>296</v>
      </c>
      <c r="C163" t="s">
        <v>679</v>
      </c>
      <c r="D163" t="s">
        <v>1056</v>
      </c>
      <c r="E163" s="364">
        <v>52876.865717000081</v>
      </c>
      <c r="F163" s="364">
        <v>-122519.57513600009</v>
      </c>
      <c r="G163" s="369">
        <v>-54174.097424999927</v>
      </c>
      <c r="H163" s="364">
        <v>-43798.033861000091</v>
      </c>
      <c r="I163" s="350">
        <f t="shared" si="42"/>
        <v>-167614.84070500004</v>
      </c>
      <c r="K163" s="66">
        <f t="shared" si="43"/>
        <v>0</v>
      </c>
      <c r="L163" s="66"/>
      <c r="M163" s="415">
        <v>157</v>
      </c>
      <c r="N163" s="415">
        <v>296</v>
      </c>
      <c r="O163" s="66" t="s">
        <v>679</v>
      </c>
      <c r="P163" t="s">
        <v>1056</v>
      </c>
      <c r="Q163" s="364">
        <v>-43798.033861000091</v>
      </c>
      <c r="R163" t="s">
        <v>2580</v>
      </c>
      <c r="S163" s="250"/>
      <c r="T163" s="159">
        <f t="shared" si="46"/>
        <v>0</v>
      </c>
      <c r="U163" s="250"/>
      <c r="V163" s="415">
        <v>157</v>
      </c>
      <c r="W163" t="s">
        <v>679</v>
      </c>
      <c r="X163" t="s">
        <v>1056</v>
      </c>
      <c r="Y163" s="364">
        <v>95137.948452000026</v>
      </c>
      <c r="Z163" s="364">
        <v>-42261.082734999945</v>
      </c>
      <c r="AA163" s="369">
        <v>-122519.57513600009</v>
      </c>
      <c r="AB163" s="505">
        <v>-54174.097424999927</v>
      </c>
      <c r="AC163" s="350">
        <f t="shared" si="47"/>
        <v>-123816.80684399993</v>
      </c>
      <c r="AG163" s="159">
        <f t="shared" si="48"/>
        <v>0</v>
      </c>
      <c r="AI163" s="442" t="s">
        <v>679</v>
      </c>
      <c r="AJ163" t="s">
        <v>1056</v>
      </c>
      <c r="AK163" s="364">
        <v>0</v>
      </c>
      <c r="AL163" s="364">
        <v>52876.865717000081</v>
      </c>
      <c r="AM163" s="369">
        <v>-122519.57513600009</v>
      </c>
      <c r="AN163" s="505">
        <v>-54174.097424999927</v>
      </c>
      <c r="AO163" s="448">
        <v>-69642.709419000006</v>
      </c>
      <c r="AP163" s="448"/>
      <c r="AQ163" s="438"/>
      <c r="AR163" s="449">
        <f t="shared" si="51"/>
        <v>-123816.80684399993</v>
      </c>
      <c r="AS163" s="438"/>
      <c r="AT163" s="438"/>
      <c r="AU163" s="364">
        <v>52876.865717000081</v>
      </c>
      <c r="AV163" s="369">
        <v>-122519.57513600009</v>
      </c>
      <c r="AW163" s="505">
        <v>-54174.097424999927</v>
      </c>
      <c r="AX163" s="452">
        <f t="shared" si="44"/>
        <v>-123816.80684399993</v>
      </c>
      <c r="AY163" s="250">
        <f t="shared" si="50"/>
        <v>0</v>
      </c>
      <c r="AZ163" s="439"/>
      <c r="BA163" s="582">
        <v>-43798.033861000091</v>
      </c>
      <c r="BB163" s="462">
        <f t="shared" si="45"/>
        <v>-167614.84070500004</v>
      </c>
      <c r="BC163" s="463">
        <f t="shared" si="37"/>
        <v>0</v>
      </c>
      <c r="BD163" s="431"/>
      <c r="BE163" s="435">
        <f t="shared" si="41"/>
        <v>0</v>
      </c>
    </row>
    <row r="164" spans="1:57" ht="15">
      <c r="A164" s="415">
        <v>158</v>
      </c>
      <c r="B164" s="415">
        <v>183</v>
      </c>
      <c r="C164" t="s">
        <v>482</v>
      </c>
      <c r="D164" t="s">
        <v>970</v>
      </c>
      <c r="E164" s="364">
        <v>-60195.889557999908</v>
      </c>
      <c r="F164" s="364">
        <v>-140747.98052000004</v>
      </c>
      <c r="G164" s="369">
        <v>-148551.26988999994</v>
      </c>
      <c r="H164" s="364">
        <v>-167257.40243599995</v>
      </c>
      <c r="I164" s="350">
        <f t="shared" si="42"/>
        <v>-516752.54240399983</v>
      </c>
      <c r="K164" s="66">
        <f t="shared" si="43"/>
        <v>0</v>
      </c>
      <c r="L164" s="66"/>
      <c r="M164" s="415">
        <v>158</v>
      </c>
      <c r="N164" s="415">
        <v>183</v>
      </c>
      <c r="O164" s="66" t="s">
        <v>482</v>
      </c>
      <c r="P164" t="s">
        <v>970</v>
      </c>
      <c r="Q164" s="364">
        <v>-167257.40243599995</v>
      </c>
      <c r="R164" t="s">
        <v>2580</v>
      </c>
      <c r="S164" s="250"/>
      <c r="T164" s="159">
        <f t="shared" si="46"/>
        <v>0</v>
      </c>
      <c r="U164" s="250"/>
      <c r="V164" s="415">
        <v>158</v>
      </c>
      <c r="W164" t="s">
        <v>482</v>
      </c>
      <c r="X164" t="s">
        <v>970</v>
      </c>
      <c r="Y164" s="364">
        <v>-151343.66263199999</v>
      </c>
      <c r="Z164" s="364">
        <v>-60195.889557999908</v>
      </c>
      <c r="AA164" s="369">
        <v>-140747.98052000004</v>
      </c>
      <c r="AB164" s="505">
        <v>-148551.26988999994</v>
      </c>
      <c r="AC164" s="350">
        <f t="shared" si="47"/>
        <v>-500838.80259999988</v>
      </c>
      <c r="AG164" s="159">
        <f t="shared" si="48"/>
        <v>0</v>
      </c>
      <c r="AI164" s="442" t="s">
        <v>482</v>
      </c>
      <c r="AJ164" t="s">
        <v>970</v>
      </c>
      <c r="AK164" s="364">
        <v>0</v>
      </c>
      <c r="AL164" s="364">
        <v>-60195.889557999908</v>
      </c>
      <c r="AM164" s="369">
        <v>-140747.98052000004</v>
      </c>
      <c r="AN164" s="505">
        <v>-148551.26988999994</v>
      </c>
      <c r="AO164" s="448">
        <v>-453686.88270999998</v>
      </c>
      <c r="AP164" s="448"/>
      <c r="AQ164" s="438"/>
      <c r="AR164" s="449">
        <f t="shared" si="51"/>
        <v>-349495.13996799989</v>
      </c>
      <c r="AS164" s="438"/>
      <c r="AT164" s="438"/>
      <c r="AU164" s="364">
        <v>-60195.889557999908</v>
      </c>
      <c r="AV164" s="369">
        <v>-140747.98052000004</v>
      </c>
      <c r="AW164" s="505">
        <v>-148551.26988999994</v>
      </c>
      <c r="AX164" s="452">
        <f t="shared" si="44"/>
        <v>-349495.13996799989</v>
      </c>
      <c r="AY164" s="250">
        <f t="shared" si="50"/>
        <v>0</v>
      </c>
      <c r="AZ164" s="439"/>
      <c r="BA164" s="582">
        <v>-167257.40243599995</v>
      </c>
      <c r="BB164" s="462">
        <f t="shared" si="45"/>
        <v>-516752.54240399983</v>
      </c>
      <c r="BC164" s="463">
        <f t="shared" si="37"/>
        <v>0</v>
      </c>
      <c r="BD164" s="431"/>
      <c r="BE164" s="435">
        <f t="shared" si="41"/>
        <v>0</v>
      </c>
    </row>
    <row r="165" spans="1:57" ht="15">
      <c r="A165" s="415">
        <v>159</v>
      </c>
      <c r="B165" s="415">
        <v>228</v>
      </c>
      <c r="C165" t="s">
        <v>560</v>
      </c>
      <c r="D165" t="s">
        <v>1003</v>
      </c>
      <c r="E165" s="364">
        <v>-67286.516527999978</v>
      </c>
      <c r="F165" s="364">
        <v>-63245.651627999992</v>
      </c>
      <c r="G165" s="369">
        <v>-53482.505056000002</v>
      </c>
      <c r="H165" s="364">
        <v>-85610.891509000008</v>
      </c>
      <c r="I165" s="350">
        <f t="shared" si="42"/>
        <v>-269625.56472099997</v>
      </c>
      <c r="K165" s="66">
        <f t="shared" si="43"/>
        <v>0</v>
      </c>
      <c r="L165" s="66"/>
      <c r="M165" s="415">
        <v>159</v>
      </c>
      <c r="N165" s="415">
        <v>228</v>
      </c>
      <c r="O165" s="66" t="s">
        <v>560</v>
      </c>
      <c r="P165" t="s">
        <v>1003</v>
      </c>
      <c r="Q165" s="364">
        <v>-85610.891509000008</v>
      </c>
      <c r="R165" t="s">
        <v>2580</v>
      </c>
      <c r="S165" s="250"/>
      <c r="T165" s="159">
        <f t="shared" si="46"/>
        <v>0</v>
      </c>
      <c r="U165" s="250"/>
      <c r="V165" s="415">
        <v>159</v>
      </c>
      <c r="W165" t="s">
        <v>560</v>
      </c>
      <c r="X165" t="s">
        <v>1003</v>
      </c>
      <c r="Y165" s="364">
        <v>-36033.161083999999</v>
      </c>
      <c r="Z165" s="364">
        <v>-67286.516527999978</v>
      </c>
      <c r="AA165" s="369">
        <v>-63245.651627999992</v>
      </c>
      <c r="AB165" s="505">
        <v>-53482.505056000002</v>
      </c>
      <c r="AC165" s="350">
        <f t="shared" si="47"/>
        <v>-220047.83429599996</v>
      </c>
      <c r="AG165" s="159">
        <f t="shared" si="48"/>
        <v>0</v>
      </c>
      <c r="AI165" s="442" t="s">
        <v>560</v>
      </c>
      <c r="AJ165" t="s">
        <v>1003</v>
      </c>
      <c r="AK165" s="364">
        <v>0</v>
      </c>
      <c r="AL165" s="364">
        <v>-67286.516527999978</v>
      </c>
      <c r="AM165" s="369">
        <v>-63245.651627999992</v>
      </c>
      <c r="AN165" s="505">
        <v>-53482.505056000002</v>
      </c>
      <c r="AO165" s="448">
        <v>-211416.57923999996</v>
      </c>
      <c r="AP165" s="448"/>
      <c r="AQ165" s="438"/>
      <c r="AR165" s="449">
        <f t="shared" si="51"/>
        <v>-184014.67321199997</v>
      </c>
      <c r="AS165" s="438"/>
      <c r="AT165" s="438"/>
      <c r="AU165" s="364">
        <v>-67286.516527999978</v>
      </c>
      <c r="AV165" s="369">
        <v>-63245.651627999992</v>
      </c>
      <c r="AW165" s="505">
        <v>-53482.505056000002</v>
      </c>
      <c r="AX165" s="452">
        <f t="shared" si="44"/>
        <v>-184014.67321199997</v>
      </c>
      <c r="AY165" s="250">
        <f t="shared" si="50"/>
        <v>0</v>
      </c>
      <c r="AZ165" s="439"/>
      <c r="BA165" s="582">
        <v>-85610.891509000008</v>
      </c>
      <c r="BB165" s="462">
        <f t="shared" si="45"/>
        <v>-269625.56472099997</v>
      </c>
      <c r="BC165" s="463">
        <f t="shared" si="37"/>
        <v>0</v>
      </c>
      <c r="BD165" s="431"/>
      <c r="BE165" s="435">
        <f t="shared" si="41"/>
        <v>0</v>
      </c>
    </row>
    <row r="166" spans="1:57" ht="15">
      <c r="A166" s="415">
        <v>160</v>
      </c>
      <c r="B166" s="415">
        <v>237</v>
      </c>
      <c r="C166" t="s">
        <v>578</v>
      </c>
      <c r="D166" t="s">
        <v>1011</v>
      </c>
      <c r="E166" s="364">
        <v>94303.635137999867</v>
      </c>
      <c r="F166" s="364">
        <v>53290.983080000035</v>
      </c>
      <c r="G166" s="369">
        <v>-100425.23822999978</v>
      </c>
      <c r="H166" s="364">
        <v>-329433.80801000027</v>
      </c>
      <c r="I166" s="350">
        <f t="shared" si="42"/>
        <v>-282264.42802200012</v>
      </c>
      <c r="K166" s="66">
        <f t="shared" si="43"/>
        <v>0</v>
      </c>
      <c r="L166" s="66"/>
      <c r="M166" s="415">
        <v>160</v>
      </c>
      <c r="N166" s="415">
        <v>237</v>
      </c>
      <c r="O166" s="66" t="s">
        <v>578</v>
      </c>
      <c r="P166" t="s">
        <v>1011</v>
      </c>
      <c r="Q166" s="364">
        <v>-329433.80801000027</v>
      </c>
      <c r="R166" t="s">
        <v>2580</v>
      </c>
      <c r="S166" s="250"/>
      <c r="T166" s="159">
        <f t="shared" si="46"/>
        <v>0</v>
      </c>
      <c r="U166" s="250"/>
      <c r="V166" s="415">
        <v>160</v>
      </c>
      <c r="W166" t="s">
        <v>578</v>
      </c>
      <c r="X166" t="s">
        <v>1011</v>
      </c>
      <c r="Y166" s="364">
        <v>51169.375808000259</v>
      </c>
      <c r="Z166" s="364">
        <v>43134.259329999608</v>
      </c>
      <c r="AA166" s="369">
        <v>53290.983080000035</v>
      </c>
      <c r="AB166" s="505">
        <v>-100425.23822999978</v>
      </c>
      <c r="AC166" s="350">
        <f t="shared" si="47"/>
        <v>47169.379988000117</v>
      </c>
      <c r="AG166" s="159">
        <f t="shared" si="48"/>
        <v>0</v>
      </c>
      <c r="AI166" s="442" t="s">
        <v>578</v>
      </c>
      <c r="AJ166" t="s">
        <v>1011</v>
      </c>
      <c r="AK166" s="364">
        <v>0</v>
      </c>
      <c r="AL166" s="364">
        <v>94303.635137999867</v>
      </c>
      <c r="AM166" s="369">
        <v>53290.983080000035</v>
      </c>
      <c r="AN166" s="505">
        <v>-100425.23822999978</v>
      </c>
      <c r="AO166" s="448">
        <v>147594.6182179999</v>
      </c>
      <c r="AP166" s="448"/>
      <c r="AQ166" s="438"/>
      <c r="AR166" s="449">
        <f t="shared" si="51"/>
        <v>47169.379988000117</v>
      </c>
      <c r="AS166" s="438"/>
      <c r="AT166" s="438"/>
      <c r="AU166" s="364">
        <v>94303.635137999867</v>
      </c>
      <c r="AV166" s="369">
        <v>53290.983080000035</v>
      </c>
      <c r="AW166" s="505">
        <v>-100425.23822999978</v>
      </c>
      <c r="AX166" s="452">
        <f t="shared" si="44"/>
        <v>47169.379988000117</v>
      </c>
      <c r="AY166" s="250">
        <f t="shared" si="50"/>
        <v>0</v>
      </c>
      <c r="AZ166" s="439"/>
      <c r="BA166" s="582">
        <v>-329433.80801000027</v>
      </c>
      <c r="BB166" s="462">
        <f t="shared" si="45"/>
        <v>-282264.42802200012</v>
      </c>
      <c r="BC166" s="463">
        <f t="shared" si="37"/>
        <v>0</v>
      </c>
      <c r="BD166" s="431"/>
      <c r="BE166" s="435">
        <f t="shared" si="41"/>
        <v>0</v>
      </c>
    </row>
    <row r="167" spans="1:57" ht="15">
      <c r="A167" s="415">
        <v>161</v>
      </c>
      <c r="B167" s="415">
        <v>80</v>
      </c>
      <c r="C167" t="s">
        <v>305</v>
      </c>
      <c r="D167" t="s">
        <v>890</v>
      </c>
      <c r="E167" s="364">
        <v>0</v>
      </c>
      <c r="F167" s="364">
        <v>-74013.351280000163</v>
      </c>
      <c r="G167" s="369">
        <v>-132125.85943000007</v>
      </c>
      <c r="H167" s="364">
        <v>-142664.52822799992</v>
      </c>
      <c r="I167" s="350">
        <f t="shared" si="42"/>
        <v>-348803.73893800017</v>
      </c>
      <c r="K167" s="66">
        <f t="shared" si="43"/>
        <v>0</v>
      </c>
      <c r="L167" s="66"/>
      <c r="M167" s="415">
        <v>161</v>
      </c>
      <c r="N167" s="415">
        <v>80</v>
      </c>
      <c r="O167" s="66" t="s">
        <v>305</v>
      </c>
      <c r="P167" t="s">
        <v>890</v>
      </c>
      <c r="Q167" s="364">
        <v>-142664.52822799992</v>
      </c>
      <c r="R167" t="s">
        <v>2580</v>
      </c>
      <c r="S167" s="250"/>
      <c r="T167" s="159">
        <f t="shared" si="46"/>
        <v>0</v>
      </c>
      <c r="U167" s="250"/>
      <c r="V167" s="415">
        <v>161</v>
      </c>
      <c r="W167" t="s">
        <v>305</v>
      </c>
      <c r="X167" t="s">
        <v>890</v>
      </c>
      <c r="Y167" s="364">
        <v>-63412.22119999992</v>
      </c>
      <c r="Z167" s="364">
        <v>1374.1864750001114</v>
      </c>
      <c r="AA167" s="369">
        <v>-74013.351280000163</v>
      </c>
      <c r="AB167" s="505">
        <v>-132125.85943000007</v>
      </c>
      <c r="AC167" s="350">
        <f t="shared" si="47"/>
        <v>-268177.24543500005</v>
      </c>
      <c r="AG167" s="159">
        <f t="shared" si="48"/>
        <v>0</v>
      </c>
      <c r="AI167" s="442" t="s">
        <v>305</v>
      </c>
      <c r="AJ167" t="s">
        <v>890</v>
      </c>
      <c r="AK167" s="364">
        <v>0</v>
      </c>
      <c r="AL167" s="364">
        <v>0</v>
      </c>
      <c r="AM167" s="369">
        <v>-74013.351280000163</v>
      </c>
      <c r="AN167" s="505">
        <v>-132125.85943000007</v>
      </c>
      <c r="AO167" s="448">
        <v>-275538.69600499998</v>
      </c>
      <c r="AP167" s="448"/>
      <c r="AQ167" s="438"/>
      <c r="AR167" s="449">
        <f t="shared" si="51"/>
        <v>-206139.21071000025</v>
      </c>
      <c r="AS167" s="438"/>
      <c r="AT167" s="438"/>
      <c r="AU167" s="364">
        <v>0</v>
      </c>
      <c r="AV167" s="369">
        <v>-74013.351280000163</v>
      </c>
      <c r="AW167" s="505">
        <v>-132125.85943000007</v>
      </c>
      <c r="AX167" s="452">
        <f t="shared" si="44"/>
        <v>-206139.21071000025</v>
      </c>
      <c r="AY167" s="250">
        <f t="shared" si="50"/>
        <v>0</v>
      </c>
      <c r="AZ167" s="439"/>
      <c r="BA167" s="582">
        <v>-142664.52822799992</v>
      </c>
      <c r="BB167" s="462">
        <f t="shared" si="45"/>
        <v>-348803.73893800017</v>
      </c>
      <c r="BC167" s="463">
        <f t="shared" si="37"/>
        <v>0</v>
      </c>
      <c r="BD167" s="431"/>
      <c r="BE167" s="435">
        <f t="shared" si="41"/>
        <v>0</v>
      </c>
    </row>
    <row r="168" spans="1:57" ht="15">
      <c r="A168" s="415">
        <v>162</v>
      </c>
      <c r="B168" s="415">
        <v>153</v>
      </c>
      <c r="C168" t="s">
        <v>422</v>
      </c>
      <c r="D168" t="s">
        <v>941</v>
      </c>
      <c r="E168" s="364">
        <v>-58207.793790000025</v>
      </c>
      <c r="F168" s="364">
        <v>-16408.024164999973</v>
      </c>
      <c r="G168" s="369">
        <v>-25064.243828000035</v>
      </c>
      <c r="H168" s="364">
        <v>-36993.120354000013</v>
      </c>
      <c r="I168" s="350">
        <f t="shared" si="42"/>
        <v>-136673.18213700005</v>
      </c>
      <c r="K168" s="66">
        <f t="shared" si="43"/>
        <v>0</v>
      </c>
      <c r="L168" s="66"/>
      <c r="M168" s="415">
        <v>162</v>
      </c>
      <c r="N168" s="415">
        <v>153</v>
      </c>
      <c r="O168" s="66" t="s">
        <v>422</v>
      </c>
      <c r="P168" t="s">
        <v>941</v>
      </c>
      <c r="Q168" s="364">
        <v>-36993.120354000013</v>
      </c>
      <c r="R168" t="s">
        <v>2580</v>
      </c>
      <c r="S168" s="250"/>
      <c r="T168" s="159">
        <f t="shared" si="46"/>
        <v>0</v>
      </c>
      <c r="U168" s="250"/>
      <c r="V168" s="415">
        <v>162</v>
      </c>
      <c r="W168" t="s">
        <v>422</v>
      </c>
      <c r="X168" t="s">
        <v>941</v>
      </c>
      <c r="Y168" s="364">
        <v>-53267.641173999997</v>
      </c>
      <c r="Z168" s="364">
        <v>-58207.793790000025</v>
      </c>
      <c r="AA168" s="369">
        <v>-16408.024164999973</v>
      </c>
      <c r="AB168" s="505">
        <v>-25064.243828000035</v>
      </c>
      <c r="AC168" s="350">
        <f t="shared" si="47"/>
        <v>-152947.70295700003</v>
      </c>
      <c r="AG168" s="159">
        <f t="shared" si="48"/>
        <v>0</v>
      </c>
      <c r="AI168" s="442" t="s">
        <v>422</v>
      </c>
      <c r="AJ168" t="s">
        <v>941</v>
      </c>
      <c r="AK168" s="364">
        <v>0</v>
      </c>
      <c r="AL168" s="364">
        <v>-58207.793790000025</v>
      </c>
      <c r="AM168" s="369">
        <v>-16408.024164999973</v>
      </c>
      <c r="AN168" s="505">
        <v>-25064.243828000035</v>
      </c>
      <c r="AO168" s="448">
        <v>-173692.999129</v>
      </c>
      <c r="AP168" s="448"/>
      <c r="AQ168" s="438"/>
      <c r="AR168" s="449">
        <f t="shared" si="51"/>
        <v>-99680.061783000041</v>
      </c>
      <c r="AS168" s="438"/>
      <c r="AT168" s="438"/>
      <c r="AU168" s="364">
        <v>-58207.793790000025</v>
      </c>
      <c r="AV168" s="369">
        <v>-16408.024164999973</v>
      </c>
      <c r="AW168" s="505">
        <v>-25064.243828000035</v>
      </c>
      <c r="AX168" s="452">
        <f t="shared" si="44"/>
        <v>-99680.061783000041</v>
      </c>
      <c r="AY168" s="250">
        <f t="shared" si="50"/>
        <v>0</v>
      </c>
      <c r="AZ168" s="439"/>
      <c r="BA168" s="582">
        <v>-36993.120354000013</v>
      </c>
      <c r="BB168" s="462">
        <f t="shared" si="45"/>
        <v>-136673.18213700005</v>
      </c>
      <c r="BC168" s="463">
        <f t="shared" si="37"/>
        <v>0</v>
      </c>
      <c r="BD168" s="431"/>
      <c r="BE168" s="435">
        <f t="shared" si="41"/>
        <v>0</v>
      </c>
    </row>
    <row r="169" spans="1:57" ht="15">
      <c r="A169" s="415">
        <v>163</v>
      </c>
      <c r="B169" s="415">
        <v>72</v>
      </c>
      <c r="C169" t="s">
        <v>289</v>
      </c>
      <c r="D169" t="s">
        <v>883</v>
      </c>
      <c r="E169" s="364">
        <v>-157362.82635232899</v>
      </c>
      <c r="F169" s="364">
        <v>0</v>
      </c>
      <c r="G169" s="369">
        <v>-220077.29082099907</v>
      </c>
      <c r="H169" s="364">
        <v>-191527.5481940005</v>
      </c>
      <c r="I169" s="350">
        <f t="shared" si="42"/>
        <v>-568967.66536732856</v>
      </c>
      <c r="K169" s="66">
        <f t="shared" si="43"/>
        <v>0</v>
      </c>
      <c r="L169" s="66"/>
      <c r="M169" s="415">
        <v>163</v>
      </c>
      <c r="N169" s="415">
        <v>72</v>
      </c>
      <c r="O169" s="66" t="s">
        <v>289</v>
      </c>
      <c r="P169" t="s">
        <v>883</v>
      </c>
      <c r="Q169" s="364">
        <v>-191527.5481940005</v>
      </c>
      <c r="R169" t="s">
        <v>2580</v>
      </c>
      <c r="S169" s="250"/>
      <c r="T169" s="159">
        <f t="shared" si="46"/>
        <v>0</v>
      </c>
      <c r="U169" s="250"/>
      <c r="V169" s="415">
        <v>163</v>
      </c>
      <c r="W169" t="s">
        <v>289</v>
      </c>
      <c r="X169" t="s">
        <v>883</v>
      </c>
      <c r="Y169" s="364">
        <v>-658525.62757999974</v>
      </c>
      <c r="Z169" s="364">
        <v>-157362.82635232899</v>
      </c>
      <c r="AA169" s="369">
        <v>255513.91446310899</v>
      </c>
      <c r="AB169" s="505">
        <v>-220077.29082099907</v>
      </c>
      <c r="AC169" s="350">
        <f t="shared" si="47"/>
        <v>-780451.83029021882</v>
      </c>
      <c r="AG169" s="159">
        <f t="shared" si="48"/>
        <v>0</v>
      </c>
      <c r="AI169" s="442" t="s">
        <v>289</v>
      </c>
      <c r="AJ169" t="s">
        <v>883</v>
      </c>
      <c r="AK169" s="364">
        <v>0</v>
      </c>
      <c r="AL169" s="364">
        <v>-157362.82635232899</v>
      </c>
      <c r="AM169" s="369">
        <v>0</v>
      </c>
      <c r="AN169" s="505">
        <v>-220077.29082099907</v>
      </c>
      <c r="AO169" s="448">
        <v>-1661986.58946922</v>
      </c>
      <c r="AP169" s="448"/>
      <c r="AQ169" s="438"/>
      <c r="AR169" s="449">
        <f t="shared" si="51"/>
        <v>-377440.11717332806</v>
      </c>
      <c r="AS169" s="438"/>
      <c r="AT169" s="438"/>
      <c r="AU169" s="364">
        <v>-157362.82635232899</v>
      </c>
      <c r="AV169" s="369">
        <v>0</v>
      </c>
      <c r="AW169" s="505">
        <v>-220077.29082099907</v>
      </c>
      <c r="AX169" s="452">
        <f t="shared" si="44"/>
        <v>-377440.11717332806</v>
      </c>
      <c r="AY169" s="250">
        <f t="shared" si="50"/>
        <v>0</v>
      </c>
      <c r="AZ169" s="439"/>
      <c r="BA169" s="582">
        <v>-191527.5481940005</v>
      </c>
      <c r="BB169" s="462">
        <f t="shared" si="45"/>
        <v>-568967.66536732856</v>
      </c>
      <c r="BC169" s="463">
        <f t="shared" si="37"/>
        <v>0</v>
      </c>
      <c r="BD169" s="431"/>
      <c r="BE169" s="435">
        <f t="shared" si="41"/>
        <v>0</v>
      </c>
    </row>
    <row r="170" spans="1:57" ht="15">
      <c r="A170" s="415">
        <v>164</v>
      </c>
      <c r="B170" s="415">
        <v>152</v>
      </c>
      <c r="C170" t="s">
        <v>420</v>
      </c>
      <c r="D170" t="s">
        <v>940</v>
      </c>
      <c r="E170" s="364">
        <v>49782.541367000013</v>
      </c>
      <c r="F170" s="364">
        <v>-5206.2245560000083</v>
      </c>
      <c r="G170" s="369">
        <v>-16012.556749999989</v>
      </c>
      <c r="H170" s="364">
        <v>-66146.121450000035</v>
      </c>
      <c r="I170" s="350">
        <f t="shared" si="42"/>
        <v>-37582.36138900002</v>
      </c>
      <c r="K170" s="66">
        <f t="shared" si="43"/>
        <v>0</v>
      </c>
      <c r="L170" s="66"/>
      <c r="M170" s="415">
        <v>164</v>
      </c>
      <c r="N170" s="415">
        <v>152</v>
      </c>
      <c r="O170" s="66" t="s">
        <v>420</v>
      </c>
      <c r="P170" t="s">
        <v>940</v>
      </c>
      <c r="Q170" s="364">
        <v>-66146.121450000035</v>
      </c>
      <c r="R170" t="s">
        <v>2580</v>
      </c>
      <c r="S170" s="250"/>
      <c r="T170" s="159">
        <f t="shared" si="46"/>
        <v>0</v>
      </c>
      <c r="U170" s="250"/>
      <c r="V170" s="415">
        <v>164</v>
      </c>
      <c r="W170" t="s">
        <v>420</v>
      </c>
      <c r="X170" t="s">
        <v>940</v>
      </c>
      <c r="Y170" s="364">
        <v>-8786.1536320000123</v>
      </c>
      <c r="Z170" s="364">
        <v>58568.694999000021</v>
      </c>
      <c r="AA170" s="369">
        <v>-5206.2245560000083</v>
      </c>
      <c r="AB170" s="505">
        <v>-16012.556749999989</v>
      </c>
      <c r="AC170" s="350">
        <f t="shared" si="47"/>
        <v>28563.760061000015</v>
      </c>
      <c r="AG170" s="159">
        <f t="shared" si="48"/>
        <v>0</v>
      </c>
      <c r="AI170" s="442" t="s">
        <v>420</v>
      </c>
      <c r="AJ170" t="s">
        <v>940</v>
      </c>
      <c r="AK170" s="364">
        <v>0</v>
      </c>
      <c r="AL170" s="364">
        <v>49782.541367000013</v>
      </c>
      <c r="AM170" s="369">
        <v>-5206.2245560000083</v>
      </c>
      <c r="AN170" s="505">
        <v>-16012.556749999989</v>
      </c>
      <c r="AO170" s="448">
        <v>28989.416811000003</v>
      </c>
      <c r="AP170" s="448">
        <f>+AK170+AL170</f>
        <v>49782.541367000013</v>
      </c>
      <c r="AQ170" s="438"/>
      <c r="AR170" s="449">
        <f t="shared" si="51"/>
        <v>28563.760061000015</v>
      </c>
      <c r="AS170" s="438"/>
      <c r="AT170" s="438"/>
      <c r="AU170" s="364">
        <v>49782.541367000013</v>
      </c>
      <c r="AV170" s="369">
        <v>-5206.2245560000083</v>
      </c>
      <c r="AW170" s="505">
        <v>-16012.556749999989</v>
      </c>
      <c r="AX170" s="452">
        <f t="shared" si="44"/>
        <v>28563.760061000015</v>
      </c>
      <c r="AY170" s="250">
        <f t="shared" si="50"/>
        <v>0</v>
      </c>
      <c r="AZ170" s="439"/>
      <c r="BA170" s="582">
        <v>-66146.121450000035</v>
      </c>
      <c r="BB170" s="462">
        <f t="shared" si="45"/>
        <v>-37582.36138900002</v>
      </c>
      <c r="BC170" s="463">
        <f t="shared" si="37"/>
        <v>0</v>
      </c>
      <c r="BD170" s="431"/>
      <c r="BE170" s="435">
        <f t="shared" si="41"/>
        <v>0</v>
      </c>
    </row>
    <row r="171" spans="1:57" ht="15">
      <c r="A171" s="415">
        <v>165</v>
      </c>
      <c r="B171" s="415">
        <v>328</v>
      </c>
      <c r="C171" t="s">
        <v>737</v>
      </c>
      <c r="D171" t="s">
        <v>1080</v>
      </c>
      <c r="E171" s="364">
        <v>-12763.446739591658</v>
      </c>
      <c r="F171" s="364">
        <v>-232813.05159741582</v>
      </c>
      <c r="G171" s="369">
        <v>-270449.57638099988</v>
      </c>
      <c r="H171" s="364">
        <v>-386523.32896269404</v>
      </c>
      <c r="I171" s="350">
        <f t="shared" si="42"/>
        <v>-902549.40368070139</v>
      </c>
      <c r="K171" s="66">
        <f t="shared" si="43"/>
        <v>0</v>
      </c>
      <c r="L171" s="66"/>
      <c r="M171" s="415">
        <v>165</v>
      </c>
      <c r="N171" s="415">
        <v>328</v>
      </c>
      <c r="O171" s="66" t="s">
        <v>737</v>
      </c>
      <c r="P171" t="s">
        <v>1080</v>
      </c>
      <c r="Q171" s="364">
        <v>-386523.32896269404</v>
      </c>
      <c r="R171" t="s">
        <v>2580</v>
      </c>
      <c r="S171" s="250"/>
      <c r="T171" s="159">
        <f t="shared" si="46"/>
        <v>0</v>
      </c>
      <c r="U171" s="250"/>
      <c r="V171" s="415">
        <v>165</v>
      </c>
      <c r="W171" t="s">
        <v>737</v>
      </c>
      <c r="X171" t="s">
        <v>1080</v>
      </c>
      <c r="Y171" s="364">
        <v>0</v>
      </c>
      <c r="Z171" s="364">
        <v>-12763.446739591658</v>
      </c>
      <c r="AA171" s="369">
        <v>-232813.05159741582</v>
      </c>
      <c r="AB171" s="505">
        <v>-270449.57638099988</v>
      </c>
      <c r="AC171" s="350">
        <f t="shared" si="47"/>
        <v>-516026.07471800735</v>
      </c>
      <c r="AG171" s="159">
        <f t="shared" si="48"/>
        <v>0</v>
      </c>
      <c r="AI171" s="442" t="s">
        <v>737</v>
      </c>
      <c r="AJ171" t="s">
        <v>1080</v>
      </c>
      <c r="AK171" s="364">
        <v>0</v>
      </c>
      <c r="AL171" s="364">
        <v>-12763.446739591658</v>
      </c>
      <c r="AM171" s="369">
        <v>-232813.05159741582</v>
      </c>
      <c r="AN171" s="505">
        <v>-270449.57638099988</v>
      </c>
      <c r="AO171" s="448">
        <v>-285533.92133875948</v>
      </c>
      <c r="AP171" s="448"/>
      <c r="AQ171" s="438"/>
      <c r="AR171" s="449">
        <f t="shared" si="51"/>
        <v>-516026.07471800735</v>
      </c>
      <c r="AS171" s="438"/>
      <c r="AT171" s="438"/>
      <c r="AU171" s="364">
        <v>-12763.446739591658</v>
      </c>
      <c r="AV171" s="369">
        <v>-232813.05159741582</v>
      </c>
      <c r="AW171" s="505">
        <v>-270449.57638099988</v>
      </c>
      <c r="AX171" s="452">
        <f t="shared" si="44"/>
        <v>-516026.07471800735</v>
      </c>
      <c r="AY171" s="250">
        <f t="shared" si="50"/>
        <v>0</v>
      </c>
      <c r="AZ171" s="439"/>
      <c r="BA171" s="582">
        <v>-386523.32896269404</v>
      </c>
      <c r="BB171" s="462">
        <f t="shared" si="45"/>
        <v>-902549.40368070139</v>
      </c>
      <c r="BC171" s="463">
        <f t="shared" si="37"/>
        <v>0</v>
      </c>
      <c r="BD171" s="431"/>
      <c r="BE171" s="435">
        <f t="shared" si="41"/>
        <v>0</v>
      </c>
    </row>
    <row r="172" spans="1:57" ht="15">
      <c r="A172" s="415">
        <v>166</v>
      </c>
      <c r="B172" s="415">
        <v>298</v>
      </c>
      <c r="C172" t="s">
        <v>683</v>
      </c>
      <c r="D172" t="s">
        <v>1058</v>
      </c>
      <c r="E172" s="364">
        <v>413642.67080940015</v>
      </c>
      <c r="F172" s="364">
        <v>-83120.006480000302</v>
      </c>
      <c r="G172" s="369">
        <v>-20780.614000000525</v>
      </c>
      <c r="H172" s="364">
        <v>-88686.45710485708</v>
      </c>
      <c r="I172" s="350">
        <f t="shared" si="42"/>
        <v>221055.59322454222</v>
      </c>
      <c r="K172" s="66">
        <f t="shared" si="43"/>
        <v>0</v>
      </c>
      <c r="L172" s="66"/>
      <c r="M172" s="415">
        <v>166</v>
      </c>
      <c r="N172" s="415">
        <v>298</v>
      </c>
      <c r="O172" s="66" t="s">
        <v>683</v>
      </c>
      <c r="P172" t="s">
        <v>1058</v>
      </c>
      <c r="Q172" s="364">
        <v>-88686.45710485708</v>
      </c>
      <c r="R172" t="s">
        <v>2580</v>
      </c>
      <c r="S172" s="250"/>
      <c r="T172" s="159">
        <f t="shared" si="46"/>
        <v>0</v>
      </c>
      <c r="U172" s="250"/>
      <c r="V172" s="415">
        <v>166</v>
      </c>
      <c r="W172" t="s">
        <v>683</v>
      </c>
      <c r="X172" t="s">
        <v>1058</v>
      </c>
      <c r="Y172" s="364">
        <v>467356.33943247551</v>
      </c>
      <c r="Z172" s="364">
        <v>-53713.668623075355</v>
      </c>
      <c r="AA172" s="369">
        <v>-83120.006480000302</v>
      </c>
      <c r="AB172" s="505">
        <v>-20780.614000000525</v>
      </c>
      <c r="AC172" s="350">
        <f t="shared" si="47"/>
        <v>309742.0503293993</v>
      </c>
      <c r="AG172" s="159">
        <f t="shared" si="48"/>
        <v>0</v>
      </c>
      <c r="AI172" s="442" t="s">
        <v>683</v>
      </c>
      <c r="AJ172" t="s">
        <v>1058</v>
      </c>
      <c r="AK172" s="364">
        <v>0</v>
      </c>
      <c r="AL172" s="364">
        <v>413642.67080940015</v>
      </c>
      <c r="AM172" s="369">
        <v>-83120.006480000302</v>
      </c>
      <c r="AN172" s="505">
        <v>-20780.614000000525</v>
      </c>
      <c r="AO172" s="448">
        <v>330522.66432939982</v>
      </c>
      <c r="AP172" s="448">
        <f>+AK172+AL172</f>
        <v>413642.67080940015</v>
      </c>
      <c r="AQ172" s="438"/>
      <c r="AR172" s="449">
        <f t="shared" si="51"/>
        <v>309742.0503293993</v>
      </c>
      <c r="AS172" s="438"/>
      <c r="AT172" s="438"/>
      <c r="AU172" s="364">
        <v>413642.67080940015</v>
      </c>
      <c r="AV172" s="369">
        <v>-83120.006480000302</v>
      </c>
      <c r="AW172" s="505">
        <v>-20780.614000000525</v>
      </c>
      <c r="AX172" s="452">
        <f t="shared" si="44"/>
        <v>309742.0503293993</v>
      </c>
      <c r="AY172" s="250">
        <f t="shared" si="50"/>
        <v>0</v>
      </c>
      <c r="AZ172" s="439"/>
      <c r="BA172" s="582">
        <v>-88686.45710485708</v>
      </c>
      <c r="BB172" s="462">
        <f t="shared" si="45"/>
        <v>221055.59322454222</v>
      </c>
      <c r="BC172" s="463">
        <f t="shared" si="37"/>
        <v>0</v>
      </c>
      <c r="BD172" s="431"/>
      <c r="BE172" s="435">
        <f t="shared" si="41"/>
        <v>0</v>
      </c>
    </row>
    <row r="173" spans="1:57" ht="15">
      <c r="A173" s="415">
        <v>167</v>
      </c>
      <c r="B173" s="415">
        <v>227</v>
      </c>
      <c r="C173" s="339" t="s">
        <v>558</v>
      </c>
      <c r="D173" s="340" t="s">
        <v>559</v>
      </c>
      <c r="E173" s="372">
        <v>0</v>
      </c>
      <c r="F173" s="363">
        <v>0</v>
      </c>
      <c r="G173" s="369">
        <v>-568.27441799999997</v>
      </c>
      <c r="H173" s="364">
        <v>-12.828899999999976</v>
      </c>
      <c r="I173" s="350">
        <f t="shared" si="42"/>
        <v>-581.10331799999994</v>
      </c>
      <c r="K173" s="66">
        <f t="shared" si="43"/>
        <v>0</v>
      </c>
      <c r="L173" s="66"/>
      <c r="M173" s="415">
        <v>167</v>
      </c>
      <c r="N173" s="415">
        <v>227</v>
      </c>
      <c r="O173" s="66" t="s">
        <v>558</v>
      </c>
      <c r="P173" s="340" t="s">
        <v>559</v>
      </c>
      <c r="Q173" s="364">
        <v>-12.828899999999976</v>
      </c>
      <c r="R173" t="s">
        <v>2580</v>
      </c>
      <c r="S173" s="250"/>
      <c r="T173" s="159">
        <f t="shared" si="46"/>
        <v>0</v>
      </c>
      <c r="U173" s="250"/>
      <c r="V173" s="415">
        <v>167</v>
      </c>
      <c r="W173" s="339" t="s">
        <v>558</v>
      </c>
      <c r="X173" s="340" t="s">
        <v>559</v>
      </c>
      <c r="Y173" s="372">
        <v>0</v>
      </c>
      <c r="Z173" s="363"/>
      <c r="AA173" s="369"/>
      <c r="AB173" s="505">
        <v>-568.27441799999997</v>
      </c>
      <c r="AC173" s="350">
        <f t="shared" si="47"/>
        <v>-568.27441799999997</v>
      </c>
      <c r="AG173" s="159">
        <f t="shared" si="48"/>
        <v>0</v>
      </c>
      <c r="AI173" s="442" t="s">
        <v>558</v>
      </c>
      <c r="AJ173" s="340" t="s">
        <v>559</v>
      </c>
      <c r="AK173" s="372">
        <v>0</v>
      </c>
      <c r="AL173" s="372">
        <v>0</v>
      </c>
      <c r="AM173" s="369">
        <v>0</v>
      </c>
      <c r="AN173" s="505">
        <v>-568.27441799999997</v>
      </c>
      <c r="AO173" s="448">
        <v>0</v>
      </c>
      <c r="AP173" s="448"/>
      <c r="AQ173" s="438"/>
      <c r="AR173" s="449">
        <f t="shared" si="51"/>
        <v>-568.27441799999997</v>
      </c>
      <c r="AS173" s="438"/>
      <c r="AT173" s="438"/>
      <c r="AU173" s="372">
        <v>0</v>
      </c>
      <c r="AV173" s="369">
        <v>0</v>
      </c>
      <c r="AW173" s="505">
        <v>-568.27441799999997</v>
      </c>
      <c r="AX173" s="452">
        <f t="shared" si="44"/>
        <v>-568.27441799999997</v>
      </c>
      <c r="AY173" s="250">
        <f t="shared" si="50"/>
        <v>0</v>
      </c>
      <c r="AZ173" s="439"/>
      <c r="BA173" s="582">
        <v>-12.828899999999976</v>
      </c>
      <c r="BB173" s="462">
        <f t="shared" si="45"/>
        <v>-581.10331799999994</v>
      </c>
      <c r="BC173" s="463">
        <f t="shared" si="37"/>
        <v>0</v>
      </c>
      <c r="BD173" s="431"/>
      <c r="BE173" s="435">
        <f t="shared" si="41"/>
        <v>0</v>
      </c>
    </row>
    <row r="174" spans="1:57" ht="15">
      <c r="A174" s="415">
        <v>168</v>
      </c>
      <c r="B174" s="415">
        <v>224</v>
      </c>
      <c r="C174" t="s">
        <v>554</v>
      </c>
      <c r="D174" t="s">
        <v>1621</v>
      </c>
      <c r="E174" s="373">
        <v>-314525.32392800041</v>
      </c>
      <c r="F174" s="364">
        <v>-197204.02557200007</v>
      </c>
      <c r="G174" s="369">
        <v>-195475.04015999939</v>
      </c>
      <c r="H174" s="364">
        <v>-680835.4560260009</v>
      </c>
      <c r="I174" s="350">
        <f t="shared" si="42"/>
        <v>-1388039.8456860008</v>
      </c>
      <c r="K174" s="66">
        <f t="shared" si="43"/>
        <v>0</v>
      </c>
      <c r="L174" s="66"/>
      <c r="M174" s="415">
        <v>168</v>
      </c>
      <c r="N174" s="415">
        <v>224</v>
      </c>
      <c r="O174" s="66" t="s">
        <v>554</v>
      </c>
      <c r="P174" t="s">
        <v>1621</v>
      </c>
      <c r="Q174" s="364">
        <v>-680835.4560260009</v>
      </c>
      <c r="R174" t="s">
        <v>2580</v>
      </c>
      <c r="S174" s="250"/>
      <c r="T174" s="159">
        <f t="shared" si="46"/>
        <v>0</v>
      </c>
      <c r="U174" s="250"/>
      <c r="V174" s="415">
        <v>168</v>
      </c>
      <c r="W174" t="s">
        <v>554</v>
      </c>
      <c r="X174" t="s">
        <v>1621</v>
      </c>
      <c r="Y174" s="373">
        <v>-498114.97839499969</v>
      </c>
      <c r="Z174" s="364">
        <v>-314525.32392800041</v>
      </c>
      <c r="AA174" s="369">
        <v>-197204.02557200007</v>
      </c>
      <c r="AB174" s="505">
        <v>-195475.04015999939</v>
      </c>
      <c r="AC174" s="350">
        <f t="shared" si="47"/>
        <v>-1205319.3680549995</v>
      </c>
      <c r="AG174" s="159">
        <f t="shared" si="48"/>
        <v>0</v>
      </c>
      <c r="AI174" s="442" t="s">
        <v>554</v>
      </c>
      <c r="AJ174" t="s">
        <v>1621</v>
      </c>
      <c r="AK174" s="373">
        <v>0</v>
      </c>
      <c r="AL174" s="364">
        <v>-314525.32392800041</v>
      </c>
      <c r="AM174" s="369">
        <v>-197204.02557200007</v>
      </c>
      <c r="AN174" s="505">
        <v>-195475.04015999939</v>
      </c>
      <c r="AO174" s="448">
        <v>-1480557.1678950002</v>
      </c>
      <c r="AP174" s="448"/>
      <c r="AQ174" s="438"/>
      <c r="AR174" s="449">
        <f t="shared" si="51"/>
        <v>-707204.38965999987</v>
      </c>
      <c r="AS174" s="438"/>
      <c r="AT174" s="438"/>
      <c r="AU174" s="364">
        <v>-314525.32392800041</v>
      </c>
      <c r="AV174" s="369">
        <v>-197204.02557200007</v>
      </c>
      <c r="AW174" s="505">
        <v>-195475.04015999939</v>
      </c>
      <c r="AX174" s="452">
        <f t="shared" si="44"/>
        <v>-707204.38965999987</v>
      </c>
      <c r="AY174" s="250">
        <f t="shared" si="50"/>
        <v>0</v>
      </c>
      <c r="AZ174" s="439"/>
      <c r="BA174" s="582">
        <v>-680835.4560260009</v>
      </c>
      <c r="BB174" s="462">
        <f t="shared" si="45"/>
        <v>-1388039.8456860008</v>
      </c>
      <c r="BC174" s="463">
        <f t="shared" si="37"/>
        <v>0</v>
      </c>
      <c r="BD174" s="431"/>
      <c r="BE174" s="435">
        <f t="shared" si="41"/>
        <v>0</v>
      </c>
    </row>
    <row r="175" spans="1:57" ht="15">
      <c r="A175" s="415">
        <v>169</v>
      </c>
      <c r="B175" s="415">
        <v>118</v>
      </c>
      <c r="C175" s="345" t="s">
        <v>1176</v>
      </c>
      <c r="D175" s="346" t="s">
        <v>1188</v>
      </c>
      <c r="E175" s="373">
        <v>0</v>
      </c>
      <c r="F175" s="364">
        <v>0</v>
      </c>
      <c r="G175" s="369">
        <v>0</v>
      </c>
      <c r="H175" s="364">
        <v>0</v>
      </c>
      <c r="I175" s="350">
        <f t="shared" si="42"/>
        <v>0</v>
      </c>
      <c r="K175" s="66">
        <f t="shared" si="43"/>
        <v>0</v>
      </c>
      <c r="L175" s="66"/>
      <c r="M175" s="415">
        <v>169</v>
      </c>
      <c r="N175" s="415">
        <v>118</v>
      </c>
      <c r="O175" s="66" t="s">
        <v>1176</v>
      </c>
      <c r="P175" s="346" t="s">
        <v>1188</v>
      </c>
      <c r="Q175" s="364">
        <v>0</v>
      </c>
      <c r="R175" t="s">
        <v>2580</v>
      </c>
      <c r="S175" s="250"/>
      <c r="T175" s="159">
        <f t="shared" si="46"/>
        <v>0</v>
      </c>
      <c r="U175" s="250"/>
      <c r="V175" s="415">
        <v>169</v>
      </c>
      <c r="W175" s="345" t="s">
        <v>1176</v>
      </c>
      <c r="X175" s="346" t="s">
        <v>1188</v>
      </c>
      <c r="Y175" s="373">
        <v>0</v>
      </c>
      <c r="Z175" s="364"/>
      <c r="AA175" s="369"/>
      <c r="AB175" s="505">
        <v>0</v>
      </c>
      <c r="AC175" s="350">
        <f t="shared" si="47"/>
        <v>0</v>
      </c>
      <c r="AG175" s="159">
        <f t="shared" si="48"/>
        <v>0</v>
      </c>
      <c r="AI175" s="442" t="s">
        <v>1176</v>
      </c>
      <c r="AJ175" s="346" t="s">
        <v>1188</v>
      </c>
      <c r="AK175" s="373">
        <v>0</v>
      </c>
      <c r="AL175" s="373">
        <v>0</v>
      </c>
      <c r="AM175" s="373">
        <v>0</v>
      </c>
      <c r="AN175" s="505">
        <v>0</v>
      </c>
      <c r="AO175" s="448">
        <v>0</v>
      </c>
      <c r="AP175" s="448"/>
      <c r="AQ175" s="438"/>
      <c r="AR175" s="449">
        <f t="shared" si="51"/>
        <v>0</v>
      </c>
      <c r="AS175" s="438"/>
      <c r="AT175" s="438"/>
      <c r="AU175" s="373">
        <v>0</v>
      </c>
      <c r="AV175" s="373">
        <v>0</v>
      </c>
      <c r="AW175" s="505">
        <v>0</v>
      </c>
      <c r="AX175" s="452">
        <f t="shared" si="44"/>
        <v>0</v>
      </c>
      <c r="AY175" s="250">
        <f t="shared" si="50"/>
        <v>0</v>
      </c>
      <c r="AZ175" s="439"/>
      <c r="BA175" s="582">
        <v>0</v>
      </c>
      <c r="BB175" s="462">
        <f t="shared" si="45"/>
        <v>0</v>
      </c>
      <c r="BC175" s="463">
        <f t="shared" si="37"/>
        <v>0</v>
      </c>
      <c r="BD175" s="431"/>
      <c r="BE175" s="435">
        <f t="shared" si="41"/>
        <v>0</v>
      </c>
    </row>
    <row r="176" spans="1:57" ht="15">
      <c r="A176" s="415">
        <v>170</v>
      </c>
      <c r="B176" s="415">
        <v>232</v>
      </c>
      <c r="C176" t="s">
        <v>568</v>
      </c>
      <c r="D176" t="s">
        <v>1006</v>
      </c>
      <c r="E176" s="373">
        <v>0</v>
      </c>
      <c r="F176" s="364">
        <v>-90601.082346167997</v>
      </c>
      <c r="G176" s="369">
        <v>696075.55413400196</v>
      </c>
      <c r="H176" s="364">
        <v>-91741.252434937283</v>
      </c>
      <c r="I176" s="350">
        <f t="shared" si="42"/>
        <v>513733.21935289667</v>
      </c>
      <c r="K176" s="66">
        <f t="shared" si="43"/>
        <v>0</v>
      </c>
      <c r="L176" s="66"/>
      <c r="M176" s="415">
        <v>170</v>
      </c>
      <c r="N176" s="415">
        <v>232</v>
      </c>
      <c r="O176" s="66" t="s">
        <v>568</v>
      </c>
      <c r="P176" t="s">
        <v>1006</v>
      </c>
      <c r="Q176" s="364">
        <v>-91741.252434937283</v>
      </c>
      <c r="R176" t="s">
        <v>2580</v>
      </c>
      <c r="S176" s="250"/>
      <c r="T176" s="159">
        <f t="shared" si="46"/>
        <v>0</v>
      </c>
      <c r="U176" s="250"/>
      <c r="V176" s="415">
        <v>170</v>
      </c>
      <c r="W176" t="s">
        <v>568</v>
      </c>
      <c r="X176" t="s">
        <v>1006</v>
      </c>
      <c r="Y176" s="373">
        <v>-295.94858400069643</v>
      </c>
      <c r="Z176" s="364">
        <v>0</v>
      </c>
      <c r="AA176" s="369">
        <v>-90601.082346167997</v>
      </c>
      <c r="AB176" s="505">
        <v>696075.55413400196</v>
      </c>
      <c r="AC176" s="350">
        <f t="shared" si="47"/>
        <v>605178.52320383326</v>
      </c>
      <c r="AG176" s="159">
        <f t="shared" si="48"/>
        <v>0</v>
      </c>
      <c r="AI176" s="442" t="s">
        <v>568</v>
      </c>
      <c r="AJ176" t="s">
        <v>1006</v>
      </c>
      <c r="AK176" s="373">
        <v>0</v>
      </c>
      <c r="AL176" s="364">
        <v>0</v>
      </c>
      <c r="AM176" s="369">
        <v>-90601.082346167997</v>
      </c>
      <c r="AN176" s="505">
        <v>696075.55413400196</v>
      </c>
      <c r="AO176" s="448">
        <v>-1866946.1109301685</v>
      </c>
      <c r="AP176" s="448"/>
      <c r="AQ176" s="438"/>
      <c r="AR176" s="449">
        <f t="shared" si="51"/>
        <v>605474.47178783396</v>
      </c>
      <c r="AS176" s="438"/>
      <c r="AT176" s="438"/>
      <c r="AU176" s="364">
        <v>0</v>
      </c>
      <c r="AV176" s="369">
        <v>-90601.082346167997</v>
      </c>
      <c r="AW176" s="505">
        <v>696075.55413400196</v>
      </c>
      <c r="AX176" s="452">
        <f t="shared" si="44"/>
        <v>605474.47178783396</v>
      </c>
      <c r="AY176" s="250">
        <f t="shared" si="50"/>
        <v>0</v>
      </c>
      <c r="AZ176" s="439"/>
      <c r="BA176" s="582">
        <v>-91741.252434937283</v>
      </c>
      <c r="BB176" s="462">
        <f t="shared" si="45"/>
        <v>513733.21935289667</v>
      </c>
      <c r="BC176" s="463">
        <f t="shared" si="37"/>
        <v>0</v>
      </c>
      <c r="BD176" s="431"/>
      <c r="BE176" s="435">
        <f t="shared" si="41"/>
        <v>0</v>
      </c>
    </row>
    <row r="177" spans="1:57" ht="15">
      <c r="A177" s="415">
        <v>171</v>
      </c>
      <c r="B177" s="415">
        <v>315</v>
      </c>
      <c r="C177" t="s">
        <v>713</v>
      </c>
      <c r="D177" t="s">
        <v>1069</v>
      </c>
      <c r="E177" s="373">
        <v>-97272.827544999891</v>
      </c>
      <c r="F177" s="364">
        <v>-288705.22216052451</v>
      </c>
      <c r="G177" s="369">
        <v>-248783.96953999996</v>
      </c>
      <c r="H177" s="364">
        <v>-265700.68376128259</v>
      </c>
      <c r="I177" s="350">
        <f t="shared" si="42"/>
        <v>-900462.70300680702</v>
      </c>
      <c r="K177" s="66">
        <f t="shared" si="43"/>
        <v>0</v>
      </c>
      <c r="L177" s="66"/>
      <c r="M177" s="415">
        <v>171</v>
      </c>
      <c r="N177" s="415">
        <v>315</v>
      </c>
      <c r="O177" s="66" t="s">
        <v>713</v>
      </c>
      <c r="P177" t="s">
        <v>1069</v>
      </c>
      <c r="Q177" s="364">
        <v>-265700.68376128259</v>
      </c>
      <c r="R177" t="s">
        <v>2580</v>
      </c>
      <c r="S177" s="250"/>
      <c r="T177" s="159">
        <f t="shared" si="46"/>
        <v>0</v>
      </c>
      <c r="U177" s="250"/>
      <c r="V177" s="415">
        <v>171</v>
      </c>
      <c r="W177" t="s">
        <v>713</v>
      </c>
      <c r="X177" t="s">
        <v>1069</v>
      </c>
      <c r="Y177" s="373">
        <v>-33111.315049999917</v>
      </c>
      <c r="Z177" s="364">
        <v>-97272.827544999891</v>
      </c>
      <c r="AA177" s="369">
        <v>-288705.22216052451</v>
      </c>
      <c r="AB177" s="505">
        <v>-248783.96953999996</v>
      </c>
      <c r="AC177" s="350">
        <f t="shared" si="47"/>
        <v>-667873.33429552428</v>
      </c>
      <c r="AG177" s="159">
        <f t="shared" si="48"/>
        <v>0</v>
      </c>
      <c r="AI177" s="442" t="s">
        <v>713</v>
      </c>
      <c r="AJ177" t="s">
        <v>1069</v>
      </c>
      <c r="AK177" s="373">
        <v>0</v>
      </c>
      <c r="AL177" s="364">
        <v>-97272.827544999891</v>
      </c>
      <c r="AM177" s="369">
        <v>-288705.22216052451</v>
      </c>
      <c r="AN177" s="505">
        <v>-248783.96953999996</v>
      </c>
      <c r="AO177" s="448">
        <v>-610854.13475552434</v>
      </c>
      <c r="AP177" s="448"/>
      <c r="AQ177" s="438"/>
      <c r="AR177" s="449">
        <f t="shared" si="51"/>
        <v>-634762.01924552443</v>
      </c>
      <c r="AS177" s="438"/>
      <c r="AT177" s="438"/>
      <c r="AU177" s="364">
        <v>-97272.827544999891</v>
      </c>
      <c r="AV177" s="369">
        <v>-288705.22216052451</v>
      </c>
      <c r="AW177" s="505">
        <v>-248783.96953999996</v>
      </c>
      <c r="AX177" s="452">
        <f t="shared" si="44"/>
        <v>-634762.01924552443</v>
      </c>
      <c r="AY177" s="250">
        <f t="shared" si="50"/>
        <v>0</v>
      </c>
      <c r="AZ177" s="439"/>
      <c r="BA177" s="582">
        <v>-265700.68376128259</v>
      </c>
      <c r="BB177" s="462">
        <f t="shared" si="45"/>
        <v>-900462.70300680702</v>
      </c>
      <c r="BC177" s="463">
        <f t="shared" si="37"/>
        <v>0</v>
      </c>
      <c r="BD177" s="431"/>
      <c r="BE177" s="435">
        <f t="shared" si="41"/>
        <v>0</v>
      </c>
    </row>
    <row r="178" spans="1:57" ht="15">
      <c r="A178" s="415">
        <v>172</v>
      </c>
      <c r="B178" s="415">
        <v>150</v>
      </c>
      <c r="C178" t="s">
        <v>416</v>
      </c>
      <c r="D178" t="s">
        <v>939</v>
      </c>
      <c r="E178" s="373">
        <v>29207.336186333567</v>
      </c>
      <c r="F178" s="364">
        <v>17982.505630999985</v>
      </c>
      <c r="G178" s="369">
        <v>-2554.5326350000687</v>
      </c>
      <c r="H178" s="364">
        <v>-38220.7079171277</v>
      </c>
      <c r="I178" s="350">
        <f t="shared" si="42"/>
        <v>6414.6012652057834</v>
      </c>
      <c r="K178" s="66">
        <f t="shared" si="43"/>
        <v>0</v>
      </c>
      <c r="L178" s="66"/>
      <c r="M178" s="415">
        <v>172</v>
      </c>
      <c r="N178" s="415">
        <v>150</v>
      </c>
      <c r="O178" s="66" t="s">
        <v>416</v>
      </c>
      <c r="P178" t="s">
        <v>939</v>
      </c>
      <c r="Q178" s="364">
        <v>-38220.7079171277</v>
      </c>
      <c r="R178" t="s">
        <v>2580</v>
      </c>
      <c r="S178" s="250"/>
      <c r="T178" s="159">
        <f t="shared" si="46"/>
        <v>0</v>
      </c>
      <c r="U178" s="250"/>
      <c r="V178" s="415">
        <v>172</v>
      </c>
      <c r="W178" t="s">
        <v>416</v>
      </c>
      <c r="X178" t="s">
        <v>939</v>
      </c>
      <c r="Y178" s="373">
        <v>16273.752171532928</v>
      </c>
      <c r="Z178" s="364">
        <v>12933.584014800639</v>
      </c>
      <c r="AA178" s="369">
        <v>17982.505630999985</v>
      </c>
      <c r="AB178" s="505">
        <v>-2554.5326350000687</v>
      </c>
      <c r="AC178" s="350">
        <f t="shared" si="47"/>
        <v>44635.309182333483</v>
      </c>
      <c r="AG178" s="159">
        <f t="shared" si="48"/>
        <v>0</v>
      </c>
      <c r="AI178" s="442" t="s">
        <v>416</v>
      </c>
      <c r="AJ178" t="s">
        <v>939</v>
      </c>
      <c r="AK178" s="373">
        <v>0</v>
      </c>
      <c r="AL178" s="364">
        <v>29207.336186333567</v>
      </c>
      <c r="AM178" s="369">
        <v>17982.505630999985</v>
      </c>
      <c r="AN178" s="505">
        <v>-2554.5326350000687</v>
      </c>
      <c r="AO178" s="448">
        <v>47189.841817333552</v>
      </c>
      <c r="AP178" s="448">
        <f>+AK178+AL178</f>
        <v>29207.336186333567</v>
      </c>
      <c r="AQ178" s="438"/>
      <c r="AR178" s="449">
        <f t="shared" si="51"/>
        <v>44635.309182333483</v>
      </c>
      <c r="AS178" s="438"/>
      <c r="AT178" s="438"/>
      <c r="AU178" s="364">
        <v>29207.336186333567</v>
      </c>
      <c r="AV178" s="369">
        <v>17982.505630999985</v>
      </c>
      <c r="AW178" s="505">
        <v>-2554.5326350000687</v>
      </c>
      <c r="AX178" s="452">
        <f t="shared" si="44"/>
        <v>44635.309182333483</v>
      </c>
      <c r="AY178" s="250">
        <f t="shared" si="50"/>
        <v>0</v>
      </c>
      <c r="AZ178" s="439"/>
      <c r="BA178" s="582">
        <v>-38220.7079171277</v>
      </c>
      <c r="BB178" s="462">
        <f t="shared" si="45"/>
        <v>6414.6012652057834</v>
      </c>
      <c r="BC178" s="463">
        <f t="shared" si="37"/>
        <v>0</v>
      </c>
      <c r="BD178" s="431"/>
      <c r="BE178" s="435">
        <f t="shared" si="41"/>
        <v>0</v>
      </c>
    </row>
    <row r="179" spans="1:57" ht="15">
      <c r="A179" s="415">
        <v>173</v>
      </c>
      <c r="B179" s="415">
        <v>190</v>
      </c>
      <c r="C179" t="s">
        <v>494</v>
      </c>
      <c r="D179" t="s">
        <v>1617</v>
      </c>
      <c r="E179" s="373">
        <v>-67033.690501000034</v>
      </c>
      <c r="F179" s="364">
        <v>0</v>
      </c>
      <c r="G179" s="369">
        <v>-15181.197451999964</v>
      </c>
      <c r="H179" s="364">
        <v>6155.0184839999711</v>
      </c>
      <c r="I179" s="350">
        <f t="shared" si="42"/>
        <v>-76059.869469000027</v>
      </c>
      <c r="K179" s="66">
        <f t="shared" si="43"/>
        <v>0</v>
      </c>
      <c r="L179" s="66"/>
      <c r="M179" s="415">
        <v>173</v>
      </c>
      <c r="N179" s="415">
        <v>190</v>
      </c>
      <c r="O179" s="66" t="s">
        <v>494</v>
      </c>
      <c r="P179" t="s">
        <v>1617</v>
      </c>
      <c r="Q179" s="364">
        <v>6155.0184839999711</v>
      </c>
      <c r="R179" t="s">
        <v>2580</v>
      </c>
      <c r="S179" s="250"/>
      <c r="T179" s="159">
        <f t="shared" si="46"/>
        <v>0</v>
      </c>
      <c r="U179" s="250"/>
      <c r="V179" s="415">
        <v>173</v>
      </c>
      <c r="W179" t="s">
        <v>494</v>
      </c>
      <c r="X179" t="s">
        <v>1617</v>
      </c>
      <c r="Y179" s="373">
        <v>-62324.005560000012</v>
      </c>
      <c r="Z179" s="364">
        <v>-67033.690501000034</v>
      </c>
      <c r="AA179" s="369">
        <v>7447.7265300000217</v>
      </c>
      <c r="AB179" s="505">
        <v>-15181.197451999964</v>
      </c>
      <c r="AC179" s="350">
        <f t="shared" si="47"/>
        <v>-137091.166983</v>
      </c>
      <c r="AG179" s="159">
        <f t="shared" si="48"/>
        <v>0</v>
      </c>
      <c r="AI179" s="442" t="s">
        <v>494</v>
      </c>
      <c r="AJ179" t="s">
        <v>1617</v>
      </c>
      <c r="AK179" s="373">
        <v>0</v>
      </c>
      <c r="AL179" s="364">
        <v>-67033.690501000034</v>
      </c>
      <c r="AM179" s="369">
        <v>0</v>
      </c>
      <c r="AN179" s="505">
        <v>-15181.197451999964</v>
      </c>
      <c r="AO179" s="448">
        <v>-174240.93953100004</v>
      </c>
      <c r="AP179" s="448"/>
      <c r="AQ179" s="438"/>
      <c r="AR179" s="449">
        <f t="shared" si="51"/>
        <v>-82214.887952999998</v>
      </c>
      <c r="AS179" s="438"/>
      <c r="AT179" s="438"/>
      <c r="AU179" s="364">
        <v>-67033.690501000034</v>
      </c>
      <c r="AV179" s="369">
        <v>0</v>
      </c>
      <c r="AW179" s="505">
        <v>-15181.197451999964</v>
      </c>
      <c r="AX179" s="452">
        <f t="shared" si="44"/>
        <v>-82214.887952999998</v>
      </c>
      <c r="AY179" s="250">
        <f t="shared" si="50"/>
        <v>0</v>
      </c>
      <c r="AZ179" s="439"/>
      <c r="BA179" s="582">
        <v>6155.0184839999711</v>
      </c>
      <c r="BB179" s="462">
        <f t="shared" si="45"/>
        <v>-76059.869469000027</v>
      </c>
      <c r="BC179" s="463">
        <f t="shared" si="37"/>
        <v>0</v>
      </c>
      <c r="BD179" s="431"/>
      <c r="BE179" s="435">
        <f t="shared" si="41"/>
        <v>0</v>
      </c>
    </row>
    <row r="180" spans="1:57" ht="15">
      <c r="A180" s="415">
        <v>174</v>
      </c>
      <c r="B180" s="415">
        <v>178</v>
      </c>
      <c r="C180" t="s">
        <v>472</v>
      </c>
      <c r="D180" t="s">
        <v>965</v>
      </c>
      <c r="E180" s="373">
        <v>-76859.912744000016</v>
      </c>
      <c r="F180" s="364">
        <v>-231161.05609200004</v>
      </c>
      <c r="G180" s="369">
        <v>-138206.25490200002</v>
      </c>
      <c r="H180" s="364">
        <v>-124006.95289300001</v>
      </c>
      <c r="I180" s="350">
        <f t="shared" si="42"/>
        <v>-570234.17663100013</v>
      </c>
      <c r="K180" s="66">
        <f t="shared" si="43"/>
        <v>0</v>
      </c>
      <c r="L180" s="66"/>
      <c r="M180" s="415">
        <v>174</v>
      </c>
      <c r="N180" s="415">
        <v>178</v>
      </c>
      <c r="O180" s="66" t="s">
        <v>472</v>
      </c>
      <c r="P180" t="s">
        <v>965</v>
      </c>
      <c r="Q180" s="364">
        <v>-124006.95289300001</v>
      </c>
      <c r="R180" t="s">
        <v>2580</v>
      </c>
      <c r="S180" s="250"/>
      <c r="T180" s="159">
        <f t="shared" si="46"/>
        <v>0</v>
      </c>
      <c r="U180" s="250"/>
      <c r="V180" s="415">
        <v>174</v>
      </c>
      <c r="W180" t="s">
        <v>472</v>
      </c>
      <c r="X180" t="s">
        <v>965</v>
      </c>
      <c r="Y180" s="373">
        <v>-32852.772935000023</v>
      </c>
      <c r="Z180" s="364">
        <v>-76859.912744000016</v>
      </c>
      <c r="AA180" s="369">
        <v>-231161.05609200004</v>
      </c>
      <c r="AB180" s="505">
        <v>-138206.25490200002</v>
      </c>
      <c r="AC180" s="350">
        <f t="shared" si="47"/>
        <v>-479079.9966730001</v>
      </c>
      <c r="AG180" s="159">
        <f t="shared" si="48"/>
        <v>0</v>
      </c>
      <c r="AI180" s="442" t="s">
        <v>472</v>
      </c>
      <c r="AJ180" t="s">
        <v>965</v>
      </c>
      <c r="AK180" s="373">
        <v>0</v>
      </c>
      <c r="AL180" s="364">
        <v>-76859.912744000016</v>
      </c>
      <c r="AM180" s="369">
        <v>-231161.05609200004</v>
      </c>
      <c r="AN180" s="505">
        <v>-138206.25490200002</v>
      </c>
      <c r="AO180" s="448">
        <v>-385953.0617710001</v>
      </c>
      <c r="AP180" s="448"/>
      <c r="AQ180" s="438"/>
      <c r="AR180" s="449">
        <f t="shared" si="51"/>
        <v>-446227.22373800009</v>
      </c>
      <c r="AS180" s="438"/>
      <c r="AT180" s="438"/>
      <c r="AU180" s="364">
        <v>-76859.912744000016</v>
      </c>
      <c r="AV180" s="369">
        <v>-231161.05609200004</v>
      </c>
      <c r="AW180" s="505">
        <v>-138206.25490200002</v>
      </c>
      <c r="AX180" s="452">
        <f t="shared" si="44"/>
        <v>-446227.22373800009</v>
      </c>
      <c r="AY180" s="250">
        <f t="shared" si="50"/>
        <v>0</v>
      </c>
      <c r="AZ180" s="439"/>
      <c r="BA180" s="582">
        <v>-124006.95289300001</v>
      </c>
      <c r="BB180" s="462">
        <f t="shared" si="45"/>
        <v>-570234.17663100013</v>
      </c>
      <c r="BC180" s="463">
        <f t="shared" ref="BC180:BC243" si="52">+BB180-I180</f>
        <v>0</v>
      </c>
      <c r="BD180" s="431"/>
      <c r="BE180" s="435">
        <f t="shared" si="41"/>
        <v>0</v>
      </c>
    </row>
    <row r="181" spans="1:57" ht="15">
      <c r="A181" s="415">
        <v>175</v>
      </c>
      <c r="B181" s="415">
        <v>193</v>
      </c>
      <c r="C181" t="s">
        <v>499</v>
      </c>
      <c r="D181" t="s">
        <v>979</v>
      </c>
      <c r="E181" s="373">
        <v>-23636.187134999956</v>
      </c>
      <c r="F181" s="364">
        <v>0</v>
      </c>
      <c r="G181" s="369">
        <v>-32899.332912000013</v>
      </c>
      <c r="H181" s="364">
        <v>-196111.51788499986</v>
      </c>
      <c r="I181" s="350">
        <f t="shared" si="42"/>
        <v>-252647.03793199983</v>
      </c>
      <c r="K181" s="66">
        <f t="shared" si="43"/>
        <v>0</v>
      </c>
      <c r="L181" s="66"/>
      <c r="M181" s="415">
        <v>175</v>
      </c>
      <c r="N181" s="415">
        <v>193</v>
      </c>
      <c r="O181" s="66" t="s">
        <v>499</v>
      </c>
      <c r="P181" t="s">
        <v>979</v>
      </c>
      <c r="Q181" s="364">
        <v>-196111.51788499986</v>
      </c>
      <c r="R181" t="s">
        <v>2580</v>
      </c>
      <c r="S181" s="250"/>
      <c r="T181" s="159">
        <f t="shared" si="46"/>
        <v>0</v>
      </c>
      <c r="U181" s="250"/>
      <c r="V181" s="415">
        <v>175</v>
      </c>
      <c r="W181" t="s">
        <v>499</v>
      </c>
      <c r="X181" t="s">
        <v>979</v>
      </c>
      <c r="Y181" s="373">
        <v>-63160.426460999974</v>
      </c>
      <c r="Z181" s="364">
        <v>-47638.984994000057</v>
      </c>
      <c r="AA181" s="369">
        <v>87163.224320000067</v>
      </c>
      <c r="AB181" s="505">
        <v>-32899.332912000013</v>
      </c>
      <c r="AC181" s="350">
        <f t="shared" si="47"/>
        <v>-56535.520046999969</v>
      </c>
      <c r="AG181" s="159">
        <f t="shared" si="48"/>
        <v>0</v>
      </c>
      <c r="AI181" s="442" t="s">
        <v>499</v>
      </c>
      <c r="AJ181" t="s">
        <v>979</v>
      </c>
      <c r="AK181" s="373">
        <v>0</v>
      </c>
      <c r="AL181" s="585">
        <v>-23636.187134999956</v>
      </c>
      <c r="AM181" s="369">
        <v>0</v>
      </c>
      <c r="AN181" s="505">
        <v>-32899.332912000013</v>
      </c>
      <c r="AO181" s="448">
        <v>-135096.18713499996</v>
      </c>
      <c r="AP181" s="448">
        <v>-23636.187134999956</v>
      </c>
      <c r="AQ181" s="438"/>
      <c r="AR181" s="449">
        <f t="shared" si="51"/>
        <v>-56535.520046999969</v>
      </c>
      <c r="AS181" s="438"/>
      <c r="AT181" s="438"/>
      <c r="AU181" s="585">
        <v>-23636.187134999956</v>
      </c>
      <c r="AV181" s="369">
        <v>0</v>
      </c>
      <c r="AW181" s="505">
        <v>-32899.332912000013</v>
      </c>
      <c r="AX181" s="452">
        <f t="shared" si="44"/>
        <v>-56535.520046999969</v>
      </c>
      <c r="AY181" s="250">
        <f t="shared" si="50"/>
        <v>0</v>
      </c>
      <c r="AZ181" s="439"/>
      <c r="BA181" s="582">
        <v>-196111.51788499986</v>
      </c>
      <c r="BB181" s="462">
        <f t="shared" si="45"/>
        <v>-252647.03793199983</v>
      </c>
      <c r="BC181" s="463">
        <f t="shared" si="52"/>
        <v>0</v>
      </c>
      <c r="BD181" s="431"/>
      <c r="BE181" s="435">
        <f t="shared" si="41"/>
        <v>0</v>
      </c>
    </row>
    <row r="182" spans="1:57" ht="15">
      <c r="A182" s="415">
        <v>176</v>
      </c>
      <c r="B182" s="415">
        <v>247</v>
      </c>
      <c r="C182" t="s">
        <v>598</v>
      </c>
      <c r="D182" t="s">
        <v>1018</v>
      </c>
      <c r="E182" s="373">
        <v>0</v>
      </c>
      <c r="F182" s="364">
        <v>-165095.44952121488</v>
      </c>
      <c r="G182" s="369">
        <v>-168440.54937599995</v>
      </c>
      <c r="H182" s="364">
        <v>-200095.9349813757</v>
      </c>
      <c r="I182" s="350">
        <f t="shared" si="42"/>
        <v>-533631.93387859059</v>
      </c>
      <c r="K182" s="66">
        <f t="shared" si="43"/>
        <v>0</v>
      </c>
      <c r="L182" s="66"/>
      <c r="M182" s="415">
        <v>176</v>
      </c>
      <c r="N182" s="415">
        <v>247</v>
      </c>
      <c r="O182" s="66" t="s">
        <v>598</v>
      </c>
      <c r="P182" t="s">
        <v>1018</v>
      </c>
      <c r="Q182" s="364">
        <v>-200095.9349813757</v>
      </c>
      <c r="R182" t="s">
        <v>2580</v>
      </c>
      <c r="S182" s="250"/>
      <c r="T182" s="159">
        <f t="shared" si="46"/>
        <v>0</v>
      </c>
      <c r="U182" s="250"/>
      <c r="V182" s="415">
        <v>176</v>
      </c>
      <c r="W182" t="s">
        <v>598</v>
      </c>
      <c r="X182" t="s">
        <v>1018</v>
      </c>
      <c r="Y182" s="373">
        <v>-96740.19316999997</v>
      </c>
      <c r="Z182" s="364">
        <v>0</v>
      </c>
      <c r="AA182" s="369">
        <v>-165095.44952121488</v>
      </c>
      <c r="AB182" s="505">
        <v>-168440.54937599995</v>
      </c>
      <c r="AC182" s="350">
        <f t="shared" si="47"/>
        <v>-430276.19206721481</v>
      </c>
      <c r="AG182" s="159">
        <f t="shared" si="48"/>
        <v>0</v>
      </c>
      <c r="AI182" s="442" t="s">
        <v>598</v>
      </c>
      <c r="AJ182" t="s">
        <v>1018</v>
      </c>
      <c r="AK182" s="373">
        <v>0</v>
      </c>
      <c r="AL182" s="364">
        <v>0</v>
      </c>
      <c r="AM182" s="369">
        <v>-165095.44952121488</v>
      </c>
      <c r="AN182" s="505">
        <v>-168440.54937599995</v>
      </c>
      <c r="AO182" s="448">
        <v>-385364.52269121486</v>
      </c>
      <c r="AP182" s="448"/>
      <c r="AQ182" s="438"/>
      <c r="AR182" s="449">
        <f t="shared" si="51"/>
        <v>-333535.99889721483</v>
      </c>
      <c r="AS182" s="438"/>
      <c r="AT182" s="438"/>
      <c r="AU182" s="364">
        <v>0</v>
      </c>
      <c r="AV182" s="369">
        <v>-165095.44952121488</v>
      </c>
      <c r="AW182" s="505">
        <v>-168440.54937599995</v>
      </c>
      <c r="AX182" s="452">
        <f t="shared" si="44"/>
        <v>-333535.99889721483</v>
      </c>
      <c r="AY182" s="250">
        <f t="shared" si="50"/>
        <v>0</v>
      </c>
      <c r="AZ182" s="439"/>
      <c r="BA182" s="582">
        <v>-200095.9349813757</v>
      </c>
      <c r="BB182" s="462">
        <f t="shared" si="45"/>
        <v>-533631.93387859059</v>
      </c>
      <c r="BC182" s="463">
        <f t="shared" si="52"/>
        <v>0</v>
      </c>
      <c r="BD182" s="431"/>
      <c r="BE182" s="435">
        <f t="shared" si="41"/>
        <v>0</v>
      </c>
    </row>
    <row r="183" spans="1:57" ht="15">
      <c r="A183" s="415">
        <v>177</v>
      </c>
      <c r="B183" s="415">
        <v>297</v>
      </c>
      <c r="C183" t="s">
        <v>681</v>
      </c>
      <c r="D183" t="s">
        <v>1057</v>
      </c>
      <c r="E183" s="373">
        <v>307468.83203500009</v>
      </c>
      <c r="F183" s="364">
        <v>68959.471296999996</v>
      </c>
      <c r="G183" s="369">
        <v>-81505.257150000194</v>
      </c>
      <c r="H183" s="364">
        <v>-64550.297243999783</v>
      </c>
      <c r="I183" s="350">
        <f t="shared" si="42"/>
        <v>230372.74893800012</v>
      </c>
      <c r="K183" s="66">
        <f t="shared" si="43"/>
        <v>0</v>
      </c>
      <c r="L183" s="66"/>
      <c r="M183" s="415">
        <v>177</v>
      </c>
      <c r="N183" s="415">
        <v>297</v>
      </c>
      <c r="O183" s="66" t="s">
        <v>681</v>
      </c>
      <c r="P183" t="s">
        <v>1057</v>
      </c>
      <c r="Q183" s="364">
        <v>-64550.297243999783</v>
      </c>
      <c r="R183" t="s">
        <v>2580</v>
      </c>
      <c r="S183" s="250"/>
      <c r="T183" s="159">
        <f t="shared" si="46"/>
        <v>0</v>
      </c>
      <c r="U183" s="250"/>
      <c r="V183" s="415">
        <v>177</v>
      </c>
      <c r="W183" t="s">
        <v>681</v>
      </c>
      <c r="X183" t="s">
        <v>1057</v>
      </c>
      <c r="Y183" s="373">
        <v>217752.68382900013</v>
      </c>
      <c r="Z183" s="364">
        <v>89716.148205999983</v>
      </c>
      <c r="AA183" s="369">
        <v>68959.471296999996</v>
      </c>
      <c r="AB183" s="505">
        <v>-81505.257150000194</v>
      </c>
      <c r="AC183" s="350">
        <f t="shared" ref="AC183:AC211" si="53">SUM(Y183:AB183)</f>
        <v>294923.0461819999</v>
      </c>
      <c r="AG183" s="159">
        <f t="shared" ref="AG183:AG211" si="54">+AI183-W183</f>
        <v>0</v>
      </c>
      <c r="AI183" s="442" t="s">
        <v>681</v>
      </c>
      <c r="AJ183" t="s">
        <v>1057</v>
      </c>
      <c r="AK183" s="373">
        <v>0</v>
      </c>
      <c r="AL183" s="585">
        <v>307468.83203500009</v>
      </c>
      <c r="AM183" s="369">
        <v>68959.471296999996</v>
      </c>
      <c r="AN183" s="505">
        <v>-81505.257150000194</v>
      </c>
      <c r="AO183" s="448">
        <v>376428.3033320001</v>
      </c>
      <c r="AP183" s="448">
        <v>307468.83203500009</v>
      </c>
      <c r="AQ183" s="438"/>
      <c r="AR183" s="449">
        <f t="shared" si="51"/>
        <v>294923.0461819999</v>
      </c>
      <c r="AS183" s="438"/>
      <c r="AT183" s="438"/>
      <c r="AU183" s="585">
        <v>307468.83203500009</v>
      </c>
      <c r="AV183" s="369">
        <v>68959.471296999996</v>
      </c>
      <c r="AW183" s="505">
        <v>-81505.257150000194</v>
      </c>
      <c r="AX183" s="452">
        <f t="shared" si="44"/>
        <v>294923.0461819999</v>
      </c>
      <c r="AY183" s="250">
        <f t="shared" si="50"/>
        <v>0</v>
      </c>
      <c r="AZ183" s="439"/>
      <c r="BA183" s="582">
        <v>-64550.297243999783</v>
      </c>
      <c r="BB183" s="462">
        <f t="shared" si="45"/>
        <v>230372.74893800012</v>
      </c>
      <c r="BC183" s="463">
        <f t="shared" si="52"/>
        <v>0</v>
      </c>
      <c r="BD183" s="431"/>
      <c r="BE183" s="435">
        <f t="shared" si="41"/>
        <v>0</v>
      </c>
    </row>
    <row r="184" spans="1:57" ht="15">
      <c r="A184" s="415">
        <v>178</v>
      </c>
      <c r="B184" s="415">
        <v>78</v>
      </c>
      <c r="C184" t="s">
        <v>301</v>
      </c>
      <c r="D184" t="s">
        <v>889</v>
      </c>
      <c r="E184" s="373">
        <v>-176909.61581599986</v>
      </c>
      <c r="F184" s="364">
        <v>-158321.49606200005</v>
      </c>
      <c r="G184" s="369">
        <v>-142278.84286200011</v>
      </c>
      <c r="H184" s="364">
        <v>-138594.60891199991</v>
      </c>
      <c r="I184" s="350">
        <f t="shared" si="42"/>
        <v>-616104.56365199992</v>
      </c>
      <c r="K184" s="66">
        <f t="shared" si="43"/>
        <v>0</v>
      </c>
      <c r="L184" s="66"/>
      <c r="M184" s="415">
        <v>178</v>
      </c>
      <c r="N184" s="415">
        <v>78</v>
      </c>
      <c r="O184" s="66" t="s">
        <v>301</v>
      </c>
      <c r="P184" t="s">
        <v>889</v>
      </c>
      <c r="Q184" s="364">
        <v>-138594.60891199991</v>
      </c>
      <c r="R184" t="s">
        <v>2580</v>
      </c>
      <c r="S184" s="250"/>
      <c r="T184" s="159">
        <f t="shared" si="46"/>
        <v>0</v>
      </c>
      <c r="U184" s="250"/>
      <c r="V184" s="415">
        <v>178</v>
      </c>
      <c r="W184" t="s">
        <v>301</v>
      </c>
      <c r="X184" t="s">
        <v>889</v>
      </c>
      <c r="Y184" s="373">
        <v>-110611.47984000001</v>
      </c>
      <c r="Z184" s="364">
        <v>-176909.61581599986</v>
      </c>
      <c r="AA184" s="369">
        <v>-158321.49606200005</v>
      </c>
      <c r="AB184" s="505">
        <v>-142278.84286200011</v>
      </c>
      <c r="AC184" s="350">
        <f t="shared" si="53"/>
        <v>-588121.43458</v>
      </c>
      <c r="AG184" s="159">
        <f t="shared" si="54"/>
        <v>0</v>
      </c>
      <c r="AI184" s="442" t="s">
        <v>301</v>
      </c>
      <c r="AJ184" t="s">
        <v>889</v>
      </c>
      <c r="AK184" s="373">
        <v>0</v>
      </c>
      <c r="AL184" s="364">
        <v>-176909.61581599986</v>
      </c>
      <c r="AM184" s="369">
        <v>-158321.49606200005</v>
      </c>
      <c r="AN184" s="505">
        <v>-142278.84286200011</v>
      </c>
      <c r="AO184" s="448">
        <v>-644952.951718</v>
      </c>
      <c r="AP184" s="448"/>
      <c r="AQ184" s="438"/>
      <c r="AR184" s="449">
        <f t="shared" si="51"/>
        <v>-477509.95474000002</v>
      </c>
      <c r="AS184" s="438"/>
      <c r="AT184" s="438"/>
      <c r="AU184" s="364">
        <v>-176909.61581599986</v>
      </c>
      <c r="AV184" s="369">
        <v>-158321.49606200005</v>
      </c>
      <c r="AW184" s="505">
        <v>-142278.84286200011</v>
      </c>
      <c r="AX184" s="452">
        <f t="shared" si="44"/>
        <v>-477509.95474000002</v>
      </c>
      <c r="AY184" s="250">
        <f t="shared" si="50"/>
        <v>0</v>
      </c>
      <c r="AZ184" s="439"/>
      <c r="BA184" s="582">
        <v>-138594.60891199991</v>
      </c>
      <c r="BB184" s="462">
        <f t="shared" si="45"/>
        <v>-616104.56365199992</v>
      </c>
      <c r="BC184" s="463">
        <f t="shared" si="52"/>
        <v>0</v>
      </c>
      <c r="BD184" s="431"/>
      <c r="BE184" s="435">
        <f t="shared" si="41"/>
        <v>0</v>
      </c>
    </row>
    <row r="185" spans="1:57" ht="15">
      <c r="A185" s="415">
        <v>179</v>
      </c>
      <c r="B185" s="415">
        <v>61</v>
      </c>
      <c r="C185" t="s">
        <v>269</v>
      </c>
      <c r="D185" t="s">
        <v>875</v>
      </c>
      <c r="E185" s="373">
        <v>-192258.11630999995</v>
      </c>
      <c r="F185" s="364">
        <v>-222262.4778099996</v>
      </c>
      <c r="G185" s="369">
        <v>-121477.2723690006</v>
      </c>
      <c r="H185" s="364">
        <v>-187119.41885699984</v>
      </c>
      <c r="I185" s="350">
        <f t="shared" si="42"/>
        <v>-723117.28534599999</v>
      </c>
      <c r="K185" s="66">
        <f t="shared" si="43"/>
        <v>0</v>
      </c>
      <c r="L185" s="66"/>
      <c r="M185" s="415">
        <v>179</v>
      </c>
      <c r="N185" s="415">
        <v>61</v>
      </c>
      <c r="O185" s="66" t="s">
        <v>269</v>
      </c>
      <c r="P185" t="s">
        <v>875</v>
      </c>
      <c r="Q185" s="364">
        <v>-187119.41885699984</v>
      </c>
      <c r="R185" t="s">
        <v>2580</v>
      </c>
      <c r="S185" s="250"/>
      <c r="T185" s="159">
        <f t="shared" si="46"/>
        <v>0</v>
      </c>
      <c r="U185" s="250"/>
      <c r="V185" s="415">
        <v>179</v>
      </c>
      <c r="W185" t="s">
        <v>269</v>
      </c>
      <c r="X185" t="s">
        <v>875</v>
      </c>
      <c r="Y185" s="373">
        <v>-109624.08280000038</v>
      </c>
      <c r="Z185" s="364">
        <v>-192258.11630999995</v>
      </c>
      <c r="AA185" s="369">
        <v>-222262.4778099996</v>
      </c>
      <c r="AB185" s="505">
        <v>-121477.2723690006</v>
      </c>
      <c r="AC185" s="350">
        <f t="shared" si="53"/>
        <v>-645621.94928900059</v>
      </c>
      <c r="AG185" s="159">
        <f t="shared" si="54"/>
        <v>0</v>
      </c>
      <c r="AI185" s="442" t="s">
        <v>269</v>
      </c>
      <c r="AJ185" t="s">
        <v>875</v>
      </c>
      <c r="AK185" s="373">
        <v>0</v>
      </c>
      <c r="AL185" s="364">
        <v>-192258.11630999995</v>
      </c>
      <c r="AM185" s="369">
        <v>-222262.4778099996</v>
      </c>
      <c r="AN185" s="505">
        <v>-121477.2723690006</v>
      </c>
      <c r="AO185" s="448">
        <v>-641583.87691999995</v>
      </c>
      <c r="AP185" s="448"/>
      <c r="AQ185" s="438"/>
      <c r="AR185" s="449">
        <f t="shared" si="51"/>
        <v>-535997.86648900015</v>
      </c>
      <c r="AS185" s="438"/>
      <c r="AT185" s="438"/>
      <c r="AU185" s="364">
        <v>-192258.11630999995</v>
      </c>
      <c r="AV185" s="369">
        <v>-222262.4778099996</v>
      </c>
      <c r="AW185" s="505">
        <v>-121477.2723690006</v>
      </c>
      <c r="AX185" s="452">
        <f t="shared" si="44"/>
        <v>-535997.86648900015</v>
      </c>
      <c r="AY185" s="250">
        <f t="shared" si="50"/>
        <v>0</v>
      </c>
      <c r="AZ185" s="439"/>
      <c r="BA185" s="582">
        <v>-187119.41885699984</v>
      </c>
      <c r="BB185" s="462">
        <f t="shared" si="45"/>
        <v>-723117.28534599999</v>
      </c>
      <c r="BC185" s="463">
        <f t="shared" si="52"/>
        <v>0</v>
      </c>
      <c r="BD185" s="431"/>
      <c r="BE185" s="435">
        <f t="shared" si="41"/>
        <v>0</v>
      </c>
    </row>
    <row r="186" spans="1:57" ht="15">
      <c r="A186" s="415">
        <v>180</v>
      </c>
      <c r="B186" s="415">
        <v>128</v>
      </c>
      <c r="C186" t="s">
        <v>378</v>
      </c>
      <c r="D186" t="s">
        <v>926</v>
      </c>
      <c r="E186" s="373">
        <v>-280071.91371457558</v>
      </c>
      <c r="F186" s="364">
        <v>-730810.10282582149</v>
      </c>
      <c r="G186" s="369">
        <v>-665217.97360000014</v>
      </c>
      <c r="H186" s="364">
        <v>-932188.51260761498</v>
      </c>
      <c r="I186" s="350">
        <f t="shared" si="42"/>
        <v>-2608288.5027480121</v>
      </c>
      <c r="K186" s="66">
        <f t="shared" si="43"/>
        <v>0</v>
      </c>
      <c r="L186" s="66"/>
      <c r="M186" s="415">
        <v>180</v>
      </c>
      <c r="N186" s="415">
        <v>128</v>
      </c>
      <c r="O186" s="66" t="s">
        <v>378</v>
      </c>
      <c r="P186" t="s">
        <v>926</v>
      </c>
      <c r="Q186" s="364">
        <v>-932188.51260761498</v>
      </c>
      <c r="R186" t="s">
        <v>2580</v>
      </c>
      <c r="S186" s="250"/>
      <c r="T186" s="159">
        <f t="shared" si="46"/>
        <v>0</v>
      </c>
      <c r="U186" s="250"/>
      <c r="V186" s="415">
        <v>180</v>
      </c>
      <c r="W186" t="s">
        <v>378</v>
      </c>
      <c r="X186" t="s">
        <v>926</v>
      </c>
      <c r="Y186" s="373">
        <v>-664681.52552000026</v>
      </c>
      <c r="Z186" s="364">
        <v>-280071.91371457558</v>
      </c>
      <c r="AA186" s="369">
        <v>-730810.10282582149</v>
      </c>
      <c r="AB186" s="505">
        <v>-665217.97360000014</v>
      </c>
      <c r="AC186" s="350">
        <f t="shared" si="53"/>
        <v>-2340781.5156603977</v>
      </c>
      <c r="AG186" s="159">
        <f t="shared" si="54"/>
        <v>0</v>
      </c>
      <c r="AI186" s="442" t="s">
        <v>378</v>
      </c>
      <c r="AJ186" t="s">
        <v>926</v>
      </c>
      <c r="AK186" s="373">
        <v>0</v>
      </c>
      <c r="AL186" s="364">
        <v>-280071.91371457558</v>
      </c>
      <c r="AM186" s="369">
        <v>-730810.10282582149</v>
      </c>
      <c r="AN186" s="505">
        <v>-665217.97360000014</v>
      </c>
      <c r="AO186" s="448">
        <v>-2392337.6620603972</v>
      </c>
      <c r="AP186" s="448"/>
      <c r="AQ186" s="438"/>
      <c r="AR186" s="449">
        <f t="shared" si="51"/>
        <v>-1676099.9901403971</v>
      </c>
      <c r="AS186" s="438"/>
      <c r="AT186" s="438"/>
      <c r="AU186" s="364">
        <v>-280071.91371457558</v>
      </c>
      <c r="AV186" s="369">
        <v>-730810.10282582149</v>
      </c>
      <c r="AW186" s="505">
        <v>-665217.97360000014</v>
      </c>
      <c r="AX186" s="452">
        <f t="shared" si="44"/>
        <v>-1676099.9901403971</v>
      </c>
      <c r="AY186" s="250">
        <f t="shared" si="50"/>
        <v>0</v>
      </c>
      <c r="AZ186" s="439"/>
      <c r="BA186" s="582">
        <v>-932188.51260761498</v>
      </c>
      <c r="BB186" s="462">
        <f t="shared" si="45"/>
        <v>-2608288.5027480121</v>
      </c>
      <c r="BC186" s="463">
        <f t="shared" si="52"/>
        <v>0</v>
      </c>
      <c r="BD186" s="431"/>
      <c r="BE186" s="435">
        <f t="shared" si="41"/>
        <v>0</v>
      </c>
    </row>
    <row r="187" spans="1:57" ht="15">
      <c r="A187" s="415">
        <v>181</v>
      </c>
      <c r="B187" s="415">
        <v>176</v>
      </c>
      <c r="C187" t="s">
        <v>468</v>
      </c>
      <c r="D187" t="s">
        <v>963</v>
      </c>
      <c r="E187" s="373">
        <v>147053.02997750838</v>
      </c>
      <c r="F187" s="364">
        <v>-11169.619039254234</v>
      </c>
      <c r="G187" s="369">
        <v>-9846.4561029996257</v>
      </c>
      <c r="H187" s="364">
        <v>-93149.122001049109</v>
      </c>
      <c r="I187" s="350">
        <f t="shared" si="42"/>
        <v>32887.832834205416</v>
      </c>
      <c r="K187" s="66">
        <f t="shared" si="43"/>
        <v>0</v>
      </c>
      <c r="L187" s="66"/>
      <c r="M187" s="415">
        <v>181</v>
      </c>
      <c r="N187" s="415">
        <v>176</v>
      </c>
      <c r="O187" s="66" t="s">
        <v>468</v>
      </c>
      <c r="P187" t="s">
        <v>963</v>
      </c>
      <c r="Q187" s="364">
        <v>-93149.122001049109</v>
      </c>
      <c r="R187" t="s">
        <v>2580</v>
      </c>
      <c r="S187" s="250"/>
      <c r="T187" s="159">
        <f t="shared" si="46"/>
        <v>0</v>
      </c>
      <c r="U187" s="250"/>
      <c r="V187" s="415">
        <v>181</v>
      </c>
      <c r="W187" t="s">
        <v>468</v>
      </c>
      <c r="X187" t="s">
        <v>963</v>
      </c>
      <c r="Y187" s="373">
        <v>217326.34881599949</v>
      </c>
      <c r="Z187" s="364">
        <v>-70273.318838491105</v>
      </c>
      <c r="AA187" s="369">
        <v>-11169.619039254234</v>
      </c>
      <c r="AB187" s="505">
        <v>-9846.4561029996257</v>
      </c>
      <c r="AC187" s="350">
        <f t="shared" si="53"/>
        <v>126036.95483525452</v>
      </c>
      <c r="AG187" s="159">
        <f t="shared" si="54"/>
        <v>0</v>
      </c>
      <c r="AI187" s="442" t="s">
        <v>468</v>
      </c>
      <c r="AJ187" t="s">
        <v>963</v>
      </c>
      <c r="AK187" s="373">
        <v>0</v>
      </c>
      <c r="AL187" s="585">
        <v>147053.02997750838</v>
      </c>
      <c r="AM187" s="369">
        <v>-11169.619039254234</v>
      </c>
      <c r="AN187" s="505">
        <v>-9846.4561029996257</v>
      </c>
      <c r="AO187" s="448">
        <v>135883.41093825415</v>
      </c>
      <c r="AP187" s="448">
        <v>147053.02997750838</v>
      </c>
      <c r="AQ187" s="438"/>
      <c r="AR187" s="449">
        <f t="shared" si="51"/>
        <v>126036.95483525452</v>
      </c>
      <c r="AS187" s="438"/>
      <c r="AT187" s="438"/>
      <c r="AU187" s="585">
        <v>147053.02997750838</v>
      </c>
      <c r="AV187" s="369">
        <v>-11169.619039254234</v>
      </c>
      <c r="AW187" s="505">
        <v>-9846.4561029996257</v>
      </c>
      <c r="AX187" s="452">
        <f t="shared" si="44"/>
        <v>126036.95483525452</v>
      </c>
      <c r="AY187" s="250">
        <f t="shared" si="50"/>
        <v>0</v>
      </c>
      <c r="AZ187" s="439"/>
      <c r="BA187" s="582">
        <v>-93149.122001049109</v>
      </c>
      <c r="BB187" s="462">
        <f t="shared" si="45"/>
        <v>32887.832834205416</v>
      </c>
      <c r="BC187" s="463">
        <f t="shared" si="52"/>
        <v>0</v>
      </c>
      <c r="BD187" s="431"/>
      <c r="BE187" s="435">
        <f t="shared" si="41"/>
        <v>0</v>
      </c>
    </row>
    <row r="188" spans="1:57" ht="15">
      <c r="A188" s="415">
        <v>182</v>
      </c>
      <c r="B188" s="415">
        <v>192</v>
      </c>
      <c r="C188" t="s">
        <v>497</v>
      </c>
      <c r="D188" t="s">
        <v>978</v>
      </c>
      <c r="E188" s="373">
        <v>-93542.148549999998</v>
      </c>
      <c r="F188" s="364">
        <v>-85545.633719999969</v>
      </c>
      <c r="G188" s="369">
        <v>-94238.293919999996</v>
      </c>
      <c r="H188" s="364">
        <v>-107734.527525</v>
      </c>
      <c r="I188" s="350">
        <f t="shared" si="42"/>
        <v>-381060.60371499992</v>
      </c>
      <c r="K188" s="66">
        <f t="shared" si="43"/>
        <v>0</v>
      </c>
      <c r="L188" s="66"/>
      <c r="M188" s="415">
        <v>182</v>
      </c>
      <c r="N188" s="415">
        <v>192</v>
      </c>
      <c r="O188" s="66" t="s">
        <v>497</v>
      </c>
      <c r="P188" t="s">
        <v>978</v>
      </c>
      <c r="Q188" s="364">
        <v>-107734.527525</v>
      </c>
      <c r="R188" t="s">
        <v>2580</v>
      </c>
      <c r="S188" s="250"/>
      <c r="T188" s="159">
        <f t="shared" si="46"/>
        <v>0</v>
      </c>
      <c r="U188" s="250"/>
      <c r="V188" s="415">
        <v>182</v>
      </c>
      <c r="W188" t="s">
        <v>497</v>
      </c>
      <c r="X188" t="s">
        <v>978</v>
      </c>
      <c r="Y188" s="373">
        <v>-27393.549347999993</v>
      </c>
      <c r="Z188" s="364">
        <v>-93542.148549999998</v>
      </c>
      <c r="AA188" s="369">
        <v>-85545.633719999969</v>
      </c>
      <c r="AB188" s="505">
        <v>-94238.293919999996</v>
      </c>
      <c r="AC188" s="350">
        <f t="shared" si="53"/>
        <v>-300719.62553799991</v>
      </c>
      <c r="AG188" s="159">
        <f t="shared" si="54"/>
        <v>0</v>
      </c>
      <c r="AI188" s="442" t="s">
        <v>497</v>
      </c>
      <c r="AJ188" t="s">
        <v>978</v>
      </c>
      <c r="AK188" s="373">
        <v>0</v>
      </c>
      <c r="AL188" s="364">
        <v>-93542.148549999998</v>
      </c>
      <c r="AM188" s="369">
        <v>-85545.633719999969</v>
      </c>
      <c r="AN188" s="505">
        <v>-94238.293919999996</v>
      </c>
      <c r="AO188" s="448">
        <v>-288239.86161799997</v>
      </c>
      <c r="AP188" s="448"/>
      <c r="AQ188" s="438"/>
      <c r="AR188" s="449">
        <f t="shared" si="51"/>
        <v>-273326.07618999993</v>
      </c>
      <c r="AS188" s="438"/>
      <c r="AT188" s="438"/>
      <c r="AU188" s="364">
        <v>-93542.148549999998</v>
      </c>
      <c r="AV188" s="369">
        <v>-85545.633719999969</v>
      </c>
      <c r="AW188" s="505">
        <v>-94238.293919999996</v>
      </c>
      <c r="AX188" s="452">
        <f t="shared" si="44"/>
        <v>-273326.07618999993</v>
      </c>
      <c r="AY188" s="250">
        <f t="shared" si="50"/>
        <v>0</v>
      </c>
      <c r="AZ188" s="439"/>
      <c r="BA188" s="582">
        <v>-107734.527525</v>
      </c>
      <c r="BB188" s="462">
        <f t="shared" si="45"/>
        <v>-381060.60371499992</v>
      </c>
      <c r="BC188" s="463">
        <f t="shared" si="52"/>
        <v>0</v>
      </c>
      <c r="BD188" s="431"/>
      <c r="BE188" s="435">
        <f t="shared" ref="BE188:BE251" si="55">+O188-C188</f>
        <v>0</v>
      </c>
    </row>
    <row r="189" spans="1:57" ht="15">
      <c r="A189" s="415">
        <v>183</v>
      </c>
      <c r="B189" s="415">
        <v>275</v>
      </c>
      <c r="C189" t="s">
        <v>642</v>
      </c>
      <c r="D189" t="s">
        <v>1038</v>
      </c>
      <c r="E189" s="373">
        <v>0</v>
      </c>
      <c r="F189" s="364">
        <v>-402688.93301690812</v>
      </c>
      <c r="G189" s="369">
        <v>-572661.1390270004</v>
      </c>
      <c r="H189" s="364">
        <v>-413580.63889264129</v>
      </c>
      <c r="I189" s="350">
        <f t="shared" si="42"/>
        <v>-1388930.7109365498</v>
      </c>
      <c r="K189" s="66">
        <f t="shared" si="43"/>
        <v>0</v>
      </c>
      <c r="L189" s="66"/>
      <c r="M189" s="415">
        <v>183</v>
      </c>
      <c r="N189" s="415">
        <v>275</v>
      </c>
      <c r="O189" s="66" t="s">
        <v>642</v>
      </c>
      <c r="P189" t="s">
        <v>1038</v>
      </c>
      <c r="Q189" s="364">
        <v>-413580.63889264129</v>
      </c>
      <c r="R189" t="s">
        <v>2580</v>
      </c>
      <c r="S189" s="250"/>
      <c r="T189" s="159">
        <f t="shared" si="46"/>
        <v>0</v>
      </c>
      <c r="U189" s="250"/>
      <c r="V189" s="415">
        <v>183</v>
      </c>
      <c r="W189" t="s">
        <v>642</v>
      </c>
      <c r="X189" t="s">
        <v>1038</v>
      </c>
      <c r="Y189" s="373">
        <v>-1630080.6883127913</v>
      </c>
      <c r="Z189" s="364">
        <v>0</v>
      </c>
      <c r="AA189" s="369">
        <v>-402688.93301690812</v>
      </c>
      <c r="AB189" s="505">
        <v>-572661.1390270004</v>
      </c>
      <c r="AC189" s="350">
        <f t="shared" si="53"/>
        <v>-2605430.7603567</v>
      </c>
      <c r="AG189" s="159">
        <f t="shared" si="54"/>
        <v>0</v>
      </c>
      <c r="AI189" s="442" t="s">
        <v>642</v>
      </c>
      <c r="AJ189" t="s">
        <v>1038</v>
      </c>
      <c r="AK189" s="373">
        <v>0</v>
      </c>
      <c r="AL189" s="364">
        <v>0</v>
      </c>
      <c r="AM189" s="369">
        <v>-402688.93301690812</v>
      </c>
      <c r="AN189" s="505">
        <v>-572661.1390270004</v>
      </c>
      <c r="AO189" s="448">
        <v>-3075333.6013296992</v>
      </c>
      <c r="AP189" s="448"/>
      <c r="AQ189" s="438"/>
      <c r="AR189" s="449">
        <f t="shared" ref="AR189:AR220" si="56">SUM(AL189:AN189)</f>
        <v>-975350.07204390853</v>
      </c>
      <c r="AS189" s="438"/>
      <c r="AT189" s="438"/>
      <c r="AU189" s="364">
        <v>0</v>
      </c>
      <c r="AV189" s="369">
        <v>-402688.93301690812</v>
      </c>
      <c r="AW189" s="505">
        <v>-572661.1390270004</v>
      </c>
      <c r="AX189" s="452">
        <f t="shared" si="44"/>
        <v>-975350.07204390853</v>
      </c>
      <c r="AY189" s="250">
        <f t="shared" si="50"/>
        <v>0</v>
      </c>
      <c r="AZ189" s="439"/>
      <c r="BA189" s="582">
        <v>-413580.63889264129</v>
      </c>
      <c r="BB189" s="462">
        <f t="shared" si="45"/>
        <v>-1388930.7109365498</v>
      </c>
      <c r="BC189" s="463">
        <f t="shared" si="52"/>
        <v>0</v>
      </c>
      <c r="BD189" s="431"/>
      <c r="BE189" s="435">
        <f t="shared" si="55"/>
        <v>0</v>
      </c>
    </row>
    <row r="190" spans="1:57" ht="15">
      <c r="A190" s="415">
        <v>184</v>
      </c>
      <c r="B190" s="415">
        <v>272</v>
      </c>
      <c r="C190" t="s">
        <v>636</v>
      </c>
      <c r="D190" t="s">
        <v>1035</v>
      </c>
      <c r="E190" s="373">
        <v>-38270.439409999992</v>
      </c>
      <c r="F190" s="364">
        <v>-32182.364405000026</v>
      </c>
      <c r="G190" s="369">
        <v>-53790.498954999959</v>
      </c>
      <c r="H190" s="364">
        <v>-27503.371264000016</v>
      </c>
      <c r="I190" s="350">
        <f t="shared" si="42"/>
        <v>-151746.674034</v>
      </c>
      <c r="K190" s="66">
        <f t="shared" si="43"/>
        <v>0</v>
      </c>
      <c r="L190" s="66"/>
      <c r="M190" s="415">
        <v>184</v>
      </c>
      <c r="N190" s="415">
        <v>272</v>
      </c>
      <c r="O190" s="66" t="s">
        <v>636</v>
      </c>
      <c r="P190" t="s">
        <v>1035</v>
      </c>
      <c r="Q190" s="364">
        <v>-27503.371264000016</v>
      </c>
      <c r="R190" t="s">
        <v>2580</v>
      </c>
      <c r="S190" s="250"/>
      <c r="T190" s="159">
        <f t="shared" si="46"/>
        <v>0</v>
      </c>
      <c r="U190" s="250"/>
      <c r="V190" s="415">
        <v>184</v>
      </c>
      <c r="W190" t="s">
        <v>636</v>
      </c>
      <c r="X190" t="s">
        <v>1035</v>
      </c>
      <c r="Y190" s="373">
        <v>-11556.393620000021</v>
      </c>
      <c r="Z190" s="364">
        <v>-38270.439409999992</v>
      </c>
      <c r="AA190" s="369">
        <v>-32182.364405000026</v>
      </c>
      <c r="AB190" s="505">
        <v>-53790.498954999959</v>
      </c>
      <c r="AC190" s="350">
        <f t="shared" si="53"/>
        <v>-135799.69639</v>
      </c>
      <c r="AG190" s="159">
        <f t="shared" si="54"/>
        <v>0</v>
      </c>
      <c r="AI190" s="442" t="s">
        <v>636</v>
      </c>
      <c r="AJ190" t="s">
        <v>1035</v>
      </c>
      <c r="AK190" s="373">
        <v>0</v>
      </c>
      <c r="AL190" s="364">
        <v>-38270.439409999992</v>
      </c>
      <c r="AM190" s="369">
        <v>-32182.364405000026</v>
      </c>
      <c r="AN190" s="505">
        <v>-53790.498954999959</v>
      </c>
      <c r="AO190" s="448">
        <v>-85832.27743500004</v>
      </c>
      <c r="AP190" s="448"/>
      <c r="AQ190" s="438"/>
      <c r="AR190" s="449">
        <f t="shared" si="56"/>
        <v>-124243.30276999998</v>
      </c>
      <c r="AS190" s="438"/>
      <c r="AT190" s="438"/>
      <c r="AU190" s="364">
        <v>-38270.439409999992</v>
      </c>
      <c r="AV190" s="369">
        <v>-32182.364405000026</v>
      </c>
      <c r="AW190" s="505">
        <v>-53790.498954999959</v>
      </c>
      <c r="AX190" s="452">
        <f t="shared" si="44"/>
        <v>-124243.30276999998</v>
      </c>
      <c r="AY190" s="250">
        <f t="shared" si="50"/>
        <v>0</v>
      </c>
      <c r="AZ190" s="439"/>
      <c r="BA190" s="582">
        <v>-27503.371264000016</v>
      </c>
      <c r="BB190" s="462">
        <f t="shared" si="45"/>
        <v>-151746.674034</v>
      </c>
      <c r="BC190" s="463">
        <f t="shared" si="52"/>
        <v>0</v>
      </c>
      <c r="BD190" s="431"/>
      <c r="BE190" s="435">
        <f t="shared" si="55"/>
        <v>0</v>
      </c>
    </row>
    <row r="191" spans="1:57" ht="15">
      <c r="A191" s="415">
        <v>185</v>
      </c>
      <c r="B191" s="415">
        <v>115</v>
      </c>
      <c r="C191" t="s">
        <v>372</v>
      </c>
      <c r="D191" t="s">
        <v>924</v>
      </c>
      <c r="E191" s="373">
        <v>0</v>
      </c>
      <c r="F191" s="364">
        <v>-711256.7057618351</v>
      </c>
      <c r="G191" s="369">
        <v>-757864.81219800003</v>
      </c>
      <c r="H191" s="364">
        <v>-802728.32825360261</v>
      </c>
      <c r="I191" s="350">
        <f t="shared" si="42"/>
        <v>-2271849.8462134376</v>
      </c>
      <c r="K191" s="66">
        <f t="shared" si="43"/>
        <v>0</v>
      </c>
      <c r="L191" s="66"/>
      <c r="M191" s="415">
        <v>185</v>
      </c>
      <c r="N191" s="415">
        <v>115</v>
      </c>
      <c r="O191" s="66" t="s">
        <v>372</v>
      </c>
      <c r="P191" t="s">
        <v>924</v>
      </c>
      <c r="Q191" s="364">
        <v>-802728.32825360261</v>
      </c>
      <c r="R191" t="s">
        <v>2580</v>
      </c>
      <c r="S191" s="250"/>
      <c r="T191" s="159">
        <f t="shared" si="46"/>
        <v>0</v>
      </c>
      <c r="U191" s="250"/>
      <c r="V191" s="415">
        <v>185</v>
      </c>
      <c r="W191" t="s">
        <v>372</v>
      </c>
      <c r="X191" t="s">
        <v>924</v>
      </c>
      <c r="Y191" s="373">
        <v>-378362.15223929728</v>
      </c>
      <c r="Z191" s="364">
        <v>0</v>
      </c>
      <c r="AA191" s="369">
        <v>-711256.7057618351</v>
      </c>
      <c r="AB191" s="505">
        <v>-757864.81219800003</v>
      </c>
      <c r="AC191" s="350">
        <f t="shared" si="53"/>
        <v>-1847483.6701991325</v>
      </c>
      <c r="AG191" s="159">
        <f t="shared" si="54"/>
        <v>0</v>
      </c>
      <c r="AI191" s="442" t="s">
        <v>372</v>
      </c>
      <c r="AJ191" t="s">
        <v>924</v>
      </c>
      <c r="AK191" s="373">
        <v>0</v>
      </c>
      <c r="AL191" s="364">
        <v>0</v>
      </c>
      <c r="AM191" s="369">
        <v>-711256.7057618351</v>
      </c>
      <c r="AN191" s="505">
        <v>-757864.81219800003</v>
      </c>
      <c r="AO191" s="448">
        <v>-1422899.1829184243</v>
      </c>
      <c r="AP191" s="448"/>
      <c r="AQ191" s="438"/>
      <c r="AR191" s="449">
        <f t="shared" si="56"/>
        <v>-1469121.517959835</v>
      </c>
      <c r="AS191" s="438"/>
      <c r="AT191" s="438"/>
      <c r="AU191" s="364">
        <v>0</v>
      </c>
      <c r="AV191" s="369">
        <v>-711256.7057618351</v>
      </c>
      <c r="AW191" s="505">
        <v>-757864.81219800003</v>
      </c>
      <c r="AX191" s="452">
        <f t="shared" si="44"/>
        <v>-1469121.517959835</v>
      </c>
      <c r="AY191" s="250">
        <f t="shared" si="50"/>
        <v>0</v>
      </c>
      <c r="AZ191" s="439"/>
      <c r="BA191" s="582">
        <v>-802728.32825360261</v>
      </c>
      <c r="BB191" s="462">
        <f t="shared" si="45"/>
        <v>-2271849.8462134376</v>
      </c>
      <c r="BC191" s="463">
        <f t="shared" si="52"/>
        <v>0</v>
      </c>
      <c r="BD191" s="431"/>
      <c r="BE191" s="435">
        <f t="shared" si="55"/>
        <v>0</v>
      </c>
    </row>
    <row r="192" spans="1:57" ht="15" customHeight="1">
      <c r="A192" s="415">
        <v>186</v>
      </c>
      <c r="B192" s="415">
        <v>89</v>
      </c>
      <c r="C192" t="s">
        <v>322</v>
      </c>
      <c r="D192" t="s">
        <v>899</v>
      </c>
      <c r="E192" s="373">
        <v>-305525.37310400046</v>
      </c>
      <c r="F192" s="364">
        <v>-1193005.1335299995</v>
      </c>
      <c r="G192" s="369">
        <v>-537297.96555999992</v>
      </c>
      <c r="H192" s="364">
        <v>-1673186.7740719994</v>
      </c>
      <c r="I192" s="350">
        <f t="shared" si="42"/>
        <v>-3709015.246265999</v>
      </c>
      <c r="K192" s="66">
        <f t="shared" si="43"/>
        <v>0</v>
      </c>
      <c r="L192" s="66"/>
      <c r="M192" s="415">
        <v>186</v>
      </c>
      <c r="N192" s="415">
        <v>89</v>
      </c>
      <c r="O192" s="66" t="s">
        <v>322</v>
      </c>
      <c r="P192" t="s">
        <v>899</v>
      </c>
      <c r="Q192" s="364">
        <v>-1673186.7740719994</v>
      </c>
      <c r="R192" t="s">
        <v>2580</v>
      </c>
      <c r="S192" s="250"/>
      <c r="T192" s="159">
        <f t="shared" si="46"/>
        <v>0</v>
      </c>
      <c r="U192" s="250"/>
      <c r="V192" s="415">
        <v>186</v>
      </c>
      <c r="W192" t="s">
        <v>322</v>
      </c>
      <c r="X192" t="s">
        <v>899</v>
      </c>
      <c r="Y192" s="373">
        <v>-930911.565451</v>
      </c>
      <c r="Z192" s="364">
        <v>-305525.37310400046</v>
      </c>
      <c r="AA192" s="369">
        <v>-1193005.1335299995</v>
      </c>
      <c r="AB192" s="505">
        <v>-537297.96555999992</v>
      </c>
      <c r="AC192" s="350">
        <f t="shared" si="53"/>
        <v>-2966740.0376449996</v>
      </c>
      <c r="AG192" s="159">
        <f t="shared" si="54"/>
        <v>0</v>
      </c>
      <c r="AI192" s="442" t="s">
        <v>322</v>
      </c>
      <c r="AJ192" t="s">
        <v>899</v>
      </c>
      <c r="AK192" s="373">
        <v>0</v>
      </c>
      <c r="AL192" s="364">
        <v>-305525.37310400046</v>
      </c>
      <c r="AM192" s="369">
        <v>-1193005.1335299995</v>
      </c>
      <c r="AN192" s="505">
        <v>-537297.96555999992</v>
      </c>
      <c r="AO192" s="448">
        <v>-3425799.6320850002</v>
      </c>
      <c r="AP192" s="448"/>
      <c r="AQ192" s="438"/>
      <c r="AR192" s="449">
        <f t="shared" si="56"/>
        <v>-2035828.4721939999</v>
      </c>
      <c r="AS192" s="438"/>
      <c r="AT192" s="438"/>
      <c r="AU192" s="364">
        <v>-305525.37310400046</v>
      </c>
      <c r="AV192" s="369">
        <v>-1193005.1335299995</v>
      </c>
      <c r="AW192" s="505">
        <v>-537297.96555999992</v>
      </c>
      <c r="AX192" s="452">
        <f t="shared" si="44"/>
        <v>-2035828.4721939999</v>
      </c>
      <c r="AY192" s="250">
        <f t="shared" si="50"/>
        <v>0</v>
      </c>
      <c r="AZ192" s="439"/>
      <c r="BA192" s="582">
        <v>-1673186.7740719994</v>
      </c>
      <c r="BB192" s="462">
        <f t="shared" si="45"/>
        <v>-3709015.246265999</v>
      </c>
      <c r="BC192" s="463">
        <f t="shared" si="52"/>
        <v>0</v>
      </c>
      <c r="BD192" s="431"/>
      <c r="BE192" s="435">
        <f t="shared" si="55"/>
        <v>0</v>
      </c>
    </row>
    <row r="193" spans="1:57" ht="15">
      <c r="A193" s="415">
        <v>187</v>
      </c>
      <c r="B193" s="415">
        <v>313</v>
      </c>
      <c r="C193" s="339" t="s">
        <v>709</v>
      </c>
      <c r="D193" s="340" t="s">
        <v>710</v>
      </c>
      <c r="E193" s="372"/>
      <c r="F193" s="363"/>
      <c r="G193" s="369">
        <v>-173643.00075100001</v>
      </c>
      <c r="H193" s="364">
        <v>-153971.38211699997</v>
      </c>
      <c r="I193" s="350">
        <f t="shared" si="42"/>
        <v>-327614.38286799996</v>
      </c>
      <c r="K193" s="66">
        <f t="shared" si="43"/>
        <v>0</v>
      </c>
      <c r="L193" s="66"/>
      <c r="M193" s="415">
        <v>187</v>
      </c>
      <c r="N193" s="415">
        <v>313</v>
      </c>
      <c r="O193" s="66" t="s">
        <v>709</v>
      </c>
      <c r="P193" s="340" t="s">
        <v>710</v>
      </c>
      <c r="Q193" s="364">
        <v>-153971.38211699997</v>
      </c>
      <c r="R193" t="s">
        <v>2580</v>
      </c>
      <c r="S193" s="250"/>
      <c r="T193" s="159">
        <f t="shared" si="46"/>
        <v>0</v>
      </c>
      <c r="U193" s="250"/>
      <c r="V193" s="415">
        <v>187</v>
      </c>
      <c r="W193" s="339" t="s">
        <v>709</v>
      </c>
      <c r="X193" s="340" t="s">
        <v>710</v>
      </c>
      <c r="Y193" s="372">
        <v>0</v>
      </c>
      <c r="Z193" s="363"/>
      <c r="AA193" s="369"/>
      <c r="AB193" s="505">
        <v>-173643.00075100001</v>
      </c>
      <c r="AC193" s="350">
        <f t="shared" si="53"/>
        <v>-173643.00075100001</v>
      </c>
      <c r="AG193" s="159">
        <f t="shared" si="54"/>
        <v>0</v>
      </c>
      <c r="AI193" s="442" t="s">
        <v>709</v>
      </c>
      <c r="AJ193" s="340" t="s">
        <v>710</v>
      </c>
      <c r="AK193" s="373">
        <v>0</v>
      </c>
      <c r="AL193" s="363"/>
      <c r="AM193" s="369"/>
      <c r="AN193" s="505">
        <v>-173643.00075100001</v>
      </c>
      <c r="AO193" s="448">
        <v>0</v>
      </c>
      <c r="AP193" s="448"/>
      <c r="AQ193" s="438"/>
      <c r="AR193" s="449">
        <f t="shared" si="56"/>
        <v>-173643.00075100001</v>
      </c>
      <c r="AS193" s="438"/>
      <c r="AT193" s="438"/>
      <c r="AU193" s="363"/>
      <c r="AV193" s="369"/>
      <c r="AW193" s="505">
        <v>-173643.00075100001</v>
      </c>
      <c r="AX193" s="452">
        <f t="shared" si="44"/>
        <v>-173643.00075100001</v>
      </c>
      <c r="AY193" s="250">
        <f t="shared" si="50"/>
        <v>0</v>
      </c>
      <c r="AZ193" s="439"/>
      <c r="BA193" s="582">
        <v>-153971.38211699997</v>
      </c>
      <c r="BB193" s="462">
        <f t="shared" si="45"/>
        <v>-327614.38286799996</v>
      </c>
      <c r="BC193" s="463">
        <f t="shared" si="52"/>
        <v>0</v>
      </c>
      <c r="BD193" s="431"/>
      <c r="BE193" s="435">
        <f t="shared" si="55"/>
        <v>0</v>
      </c>
    </row>
    <row r="194" spans="1:57" ht="15">
      <c r="A194" s="415">
        <v>188</v>
      </c>
      <c r="B194" s="415">
        <v>88</v>
      </c>
      <c r="C194" t="s">
        <v>320</v>
      </c>
      <c r="D194" t="s">
        <v>898</v>
      </c>
      <c r="E194" s="364">
        <v>-31572.615549999988</v>
      </c>
      <c r="F194" s="364">
        <v>-119234.20689600003</v>
      </c>
      <c r="G194" s="369">
        <v>-20000.36356800003</v>
      </c>
      <c r="H194" s="364">
        <v>-162012.03586199996</v>
      </c>
      <c r="I194" s="350">
        <f t="shared" si="42"/>
        <v>-332819.221876</v>
      </c>
      <c r="K194" s="66">
        <f t="shared" si="43"/>
        <v>0</v>
      </c>
      <c r="L194" s="66"/>
      <c r="M194" s="415">
        <v>188</v>
      </c>
      <c r="N194" s="415">
        <v>88</v>
      </c>
      <c r="O194" s="66" t="s">
        <v>320</v>
      </c>
      <c r="P194" t="s">
        <v>898</v>
      </c>
      <c r="Q194" s="364">
        <v>-162012.03586199996</v>
      </c>
      <c r="R194" t="s">
        <v>2580</v>
      </c>
      <c r="S194" s="250"/>
      <c r="T194" s="159">
        <f t="shared" si="46"/>
        <v>0</v>
      </c>
      <c r="U194" s="250"/>
      <c r="V194" s="415">
        <v>188</v>
      </c>
      <c r="W194" t="s">
        <v>320</v>
      </c>
      <c r="X194" t="s">
        <v>898</v>
      </c>
      <c r="Y194" s="364">
        <v>0</v>
      </c>
      <c r="Z194" s="364">
        <v>-31572.615549999988</v>
      </c>
      <c r="AA194" s="369">
        <v>-119234.20689600003</v>
      </c>
      <c r="AB194" s="505">
        <v>-20000.36356800003</v>
      </c>
      <c r="AC194" s="350">
        <f t="shared" si="53"/>
        <v>-170807.18601400004</v>
      </c>
      <c r="AG194" s="159">
        <f t="shared" si="54"/>
        <v>0</v>
      </c>
      <c r="AI194" s="442" t="s">
        <v>320</v>
      </c>
      <c r="AJ194" t="s">
        <v>898</v>
      </c>
      <c r="AK194" s="373">
        <v>0</v>
      </c>
      <c r="AL194" s="364">
        <v>-31572.615549999988</v>
      </c>
      <c r="AM194" s="369">
        <v>-119234.20689600003</v>
      </c>
      <c r="AN194" s="505">
        <v>-20000.36356800003</v>
      </c>
      <c r="AO194" s="448">
        <v>-158775.24244600002</v>
      </c>
      <c r="AP194" s="448"/>
      <c r="AQ194" s="438"/>
      <c r="AR194" s="449">
        <f t="shared" si="56"/>
        <v>-170807.18601400004</v>
      </c>
      <c r="AS194" s="438"/>
      <c r="AT194" s="438"/>
      <c r="AU194" s="364">
        <v>-31572.615549999988</v>
      </c>
      <c r="AV194" s="369">
        <v>-119234.20689600003</v>
      </c>
      <c r="AW194" s="505">
        <v>-20000.36356800003</v>
      </c>
      <c r="AX194" s="452">
        <f t="shared" si="44"/>
        <v>-170807.18601400004</v>
      </c>
      <c r="AY194" s="250">
        <f t="shared" si="50"/>
        <v>0</v>
      </c>
      <c r="AZ194" s="439"/>
      <c r="BA194" s="582">
        <v>-162012.03586199996</v>
      </c>
      <c r="BB194" s="462">
        <f t="shared" si="45"/>
        <v>-332819.221876</v>
      </c>
      <c r="BC194" s="463">
        <f t="shared" si="52"/>
        <v>0</v>
      </c>
      <c r="BD194" s="431"/>
      <c r="BE194" s="435">
        <f t="shared" si="55"/>
        <v>0</v>
      </c>
    </row>
    <row r="195" spans="1:57" ht="15">
      <c r="A195" s="415">
        <v>189</v>
      </c>
      <c r="B195" s="415">
        <v>187</v>
      </c>
      <c r="C195" t="s">
        <v>488</v>
      </c>
      <c r="D195" t="s">
        <v>973</v>
      </c>
      <c r="E195" s="364">
        <v>-27275.159621049766</v>
      </c>
      <c r="F195" s="364">
        <v>9591.3494654539827</v>
      </c>
      <c r="G195" s="369">
        <v>88405.54590999987</v>
      </c>
      <c r="H195" s="364">
        <v>24443.203944999957</v>
      </c>
      <c r="I195" s="350">
        <f t="shared" si="42"/>
        <v>95164.939699404043</v>
      </c>
      <c r="K195" s="66">
        <f t="shared" si="43"/>
        <v>0</v>
      </c>
      <c r="L195" s="66"/>
      <c r="M195" s="415">
        <v>189</v>
      </c>
      <c r="N195" s="415">
        <v>187</v>
      </c>
      <c r="O195" s="66" t="s">
        <v>488</v>
      </c>
      <c r="P195" t="s">
        <v>973</v>
      </c>
      <c r="Q195" s="364">
        <v>24443.203944999957</v>
      </c>
      <c r="R195" t="s">
        <v>2580</v>
      </c>
      <c r="S195" s="250"/>
      <c r="T195" s="159">
        <f t="shared" si="46"/>
        <v>0</v>
      </c>
      <c r="U195" s="250"/>
      <c r="V195" s="415">
        <v>189</v>
      </c>
      <c r="W195" t="s">
        <v>488</v>
      </c>
      <c r="X195" t="s">
        <v>973</v>
      </c>
      <c r="Y195" s="364">
        <v>0</v>
      </c>
      <c r="Z195" s="364">
        <v>-27275.159621049766</v>
      </c>
      <c r="AA195" s="369">
        <v>9591.3494654539827</v>
      </c>
      <c r="AB195" s="505">
        <v>88405.54590999987</v>
      </c>
      <c r="AC195" s="350">
        <f t="shared" si="53"/>
        <v>70721.735754404086</v>
      </c>
      <c r="AG195" s="159">
        <f t="shared" si="54"/>
        <v>0</v>
      </c>
      <c r="AI195" s="442" t="s">
        <v>488</v>
      </c>
      <c r="AJ195" t="s">
        <v>973</v>
      </c>
      <c r="AK195" s="373">
        <v>0</v>
      </c>
      <c r="AL195" s="364">
        <v>-27275.159621049766</v>
      </c>
      <c r="AM195" s="369">
        <v>9591.3494654539827</v>
      </c>
      <c r="AN195" s="505">
        <v>88405.54590999987</v>
      </c>
      <c r="AO195" s="448">
        <v>-17683.810155595784</v>
      </c>
      <c r="AP195" s="448"/>
      <c r="AQ195" s="438"/>
      <c r="AR195" s="449">
        <f t="shared" si="56"/>
        <v>70721.735754404086</v>
      </c>
      <c r="AS195" s="438"/>
      <c r="AT195" s="438"/>
      <c r="AU195" s="364">
        <v>-27275.159621049766</v>
      </c>
      <c r="AV195" s="369">
        <v>9591.3494654539827</v>
      </c>
      <c r="AW195" s="505">
        <v>88405.54590999987</v>
      </c>
      <c r="AX195" s="452">
        <f t="shared" si="44"/>
        <v>70721.735754404086</v>
      </c>
      <c r="AY195" s="250">
        <f t="shared" si="50"/>
        <v>0</v>
      </c>
      <c r="AZ195" s="439"/>
      <c r="BA195" s="582">
        <v>24443.203944999957</v>
      </c>
      <c r="BB195" s="462">
        <f t="shared" si="45"/>
        <v>95164.939699404043</v>
      </c>
      <c r="BC195" s="463">
        <f t="shared" si="52"/>
        <v>0</v>
      </c>
      <c r="BD195" s="431"/>
      <c r="BE195" s="435">
        <f t="shared" si="55"/>
        <v>0</v>
      </c>
    </row>
    <row r="196" spans="1:57" ht="15">
      <c r="A196" s="415">
        <v>190</v>
      </c>
      <c r="B196" s="415">
        <v>87</v>
      </c>
      <c r="C196" t="s">
        <v>318</v>
      </c>
      <c r="D196" t="s">
        <v>897</v>
      </c>
      <c r="E196" s="364">
        <v>-84137.901187999989</v>
      </c>
      <c r="F196" s="364">
        <v>-121950.31709200004</v>
      </c>
      <c r="G196" s="369">
        <v>-223743.82495799998</v>
      </c>
      <c r="H196" s="364">
        <v>-229002.02830399986</v>
      </c>
      <c r="I196" s="350">
        <f t="shared" si="42"/>
        <v>-658834.07154199993</v>
      </c>
      <c r="K196" s="66">
        <f t="shared" si="43"/>
        <v>0</v>
      </c>
      <c r="L196" s="66"/>
      <c r="M196" s="415">
        <v>190</v>
      </c>
      <c r="N196" s="415">
        <v>87</v>
      </c>
      <c r="O196" s="66" t="s">
        <v>318</v>
      </c>
      <c r="P196" t="s">
        <v>897</v>
      </c>
      <c r="Q196" s="364">
        <v>-229002.02830399986</v>
      </c>
      <c r="R196" t="s">
        <v>2580</v>
      </c>
      <c r="S196" s="250"/>
      <c r="T196" s="159">
        <f t="shared" si="46"/>
        <v>0</v>
      </c>
      <c r="U196" s="250"/>
      <c r="V196" s="415">
        <v>190</v>
      </c>
      <c r="W196" t="s">
        <v>318</v>
      </c>
      <c r="X196" t="s">
        <v>897</v>
      </c>
      <c r="Y196" s="364">
        <v>0</v>
      </c>
      <c r="Z196" s="364">
        <v>-84137.901187999989</v>
      </c>
      <c r="AA196" s="369">
        <v>-121950.31709200004</v>
      </c>
      <c r="AB196" s="505">
        <v>-223743.82495799998</v>
      </c>
      <c r="AC196" s="350">
        <f t="shared" si="53"/>
        <v>-429832.04323800001</v>
      </c>
      <c r="AG196" s="159">
        <f t="shared" si="54"/>
        <v>0</v>
      </c>
      <c r="AI196" s="442" t="s">
        <v>318</v>
      </c>
      <c r="AJ196" t="s">
        <v>897</v>
      </c>
      <c r="AK196" s="373">
        <v>0</v>
      </c>
      <c r="AL196" s="364">
        <v>-84137.901187999989</v>
      </c>
      <c r="AM196" s="369">
        <v>-121950.31709200004</v>
      </c>
      <c r="AN196" s="505">
        <v>-223743.82495799998</v>
      </c>
      <c r="AO196" s="448">
        <v>-306438.66828000004</v>
      </c>
      <c r="AP196" s="448"/>
      <c r="AQ196" s="438"/>
      <c r="AR196" s="449">
        <f t="shared" si="56"/>
        <v>-429832.04323800001</v>
      </c>
      <c r="AS196" s="438"/>
      <c r="AT196" s="438"/>
      <c r="AU196" s="364">
        <v>-84137.901187999989</v>
      </c>
      <c r="AV196" s="369">
        <v>-121950.31709200004</v>
      </c>
      <c r="AW196" s="505">
        <v>-223743.82495799998</v>
      </c>
      <c r="AX196" s="452">
        <f t="shared" si="44"/>
        <v>-429832.04323800001</v>
      </c>
      <c r="AY196" s="250">
        <f t="shared" si="50"/>
        <v>0</v>
      </c>
      <c r="AZ196" s="439"/>
      <c r="BA196" s="582">
        <v>-229002.02830399986</v>
      </c>
      <c r="BB196" s="462">
        <f t="shared" si="45"/>
        <v>-658834.07154199993</v>
      </c>
      <c r="BC196" s="463">
        <f t="shared" si="52"/>
        <v>0</v>
      </c>
      <c r="BD196" s="431"/>
      <c r="BE196" s="435">
        <f t="shared" si="55"/>
        <v>0</v>
      </c>
    </row>
    <row r="197" spans="1:57" ht="15">
      <c r="A197" s="415">
        <v>191</v>
      </c>
      <c r="B197" s="415">
        <v>167</v>
      </c>
      <c r="C197" t="s">
        <v>450</v>
      </c>
      <c r="D197" t="s">
        <v>954</v>
      </c>
      <c r="E197" s="364">
        <v>-17772.232054000022</v>
      </c>
      <c r="F197" s="364">
        <v>-16114.109550000016</v>
      </c>
      <c r="G197" s="369">
        <v>-25221.196711999975</v>
      </c>
      <c r="H197" s="364">
        <v>-39510.599724</v>
      </c>
      <c r="I197" s="350">
        <f t="shared" si="42"/>
        <v>-98618.13804000002</v>
      </c>
      <c r="K197" s="66">
        <f t="shared" si="43"/>
        <v>0</v>
      </c>
      <c r="L197" s="66"/>
      <c r="M197" s="415">
        <v>191</v>
      </c>
      <c r="N197" s="415">
        <v>167</v>
      </c>
      <c r="O197" s="66" t="s">
        <v>450</v>
      </c>
      <c r="P197" t="s">
        <v>954</v>
      </c>
      <c r="Q197" s="364">
        <v>-39510.599724</v>
      </c>
      <c r="R197" t="s">
        <v>2580</v>
      </c>
      <c r="S197" s="250"/>
      <c r="T197" s="159">
        <f t="shared" si="46"/>
        <v>0</v>
      </c>
      <c r="U197" s="250"/>
      <c r="V197" s="415">
        <v>191</v>
      </c>
      <c r="W197" t="s">
        <v>450</v>
      </c>
      <c r="X197" t="s">
        <v>954</v>
      </c>
      <c r="Y197" s="364">
        <v>-51357.197805999967</v>
      </c>
      <c r="Z197" s="364">
        <v>-17772.232054000022</v>
      </c>
      <c r="AA197" s="369">
        <v>-16114.109550000016</v>
      </c>
      <c r="AB197" s="505">
        <v>-25221.196711999975</v>
      </c>
      <c r="AC197" s="350">
        <f t="shared" si="53"/>
        <v>-110464.73612199997</v>
      </c>
      <c r="AG197" s="159">
        <f t="shared" si="54"/>
        <v>0</v>
      </c>
      <c r="AI197" s="442" t="s">
        <v>450</v>
      </c>
      <c r="AJ197" t="s">
        <v>954</v>
      </c>
      <c r="AK197" s="373">
        <v>0</v>
      </c>
      <c r="AL197" s="364">
        <v>-17772.232054000022</v>
      </c>
      <c r="AM197" s="369">
        <v>-16114.109550000016</v>
      </c>
      <c r="AN197" s="505">
        <v>-25221.196711999975</v>
      </c>
      <c r="AO197" s="448">
        <v>-132478.11941000001</v>
      </c>
      <c r="AP197" s="448"/>
      <c r="AQ197" s="438"/>
      <c r="AR197" s="449">
        <f t="shared" si="56"/>
        <v>-59107.538316000013</v>
      </c>
      <c r="AS197" s="438"/>
      <c r="AT197" s="438"/>
      <c r="AU197" s="364">
        <v>-17772.232054000022</v>
      </c>
      <c r="AV197" s="369">
        <v>-16114.109550000016</v>
      </c>
      <c r="AW197" s="505">
        <v>-25221.196711999975</v>
      </c>
      <c r="AX197" s="452">
        <f t="shared" si="44"/>
        <v>-59107.538316000013</v>
      </c>
      <c r="AY197" s="250">
        <f t="shared" si="50"/>
        <v>0</v>
      </c>
      <c r="AZ197" s="439"/>
      <c r="BA197" s="582">
        <v>-39510.599724</v>
      </c>
      <c r="BB197" s="462">
        <f t="shared" si="45"/>
        <v>-98618.13804000002</v>
      </c>
      <c r="BC197" s="463">
        <f t="shared" si="52"/>
        <v>0</v>
      </c>
      <c r="BD197" s="431"/>
      <c r="BE197" s="435">
        <f t="shared" si="55"/>
        <v>0</v>
      </c>
    </row>
    <row r="198" spans="1:57" ht="15">
      <c r="A198" s="415">
        <v>192</v>
      </c>
      <c r="B198" s="415">
        <v>180</v>
      </c>
      <c r="C198" t="s">
        <v>476</v>
      </c>
      <c r="D198" t="s">
        <v>967</v>
      </c>
      <c r="E198" s="364">
        <v>-154592.16988000006</v>
      </c>
      <c r="F198" s="364">
        <v>-147381.39797500003</v>
      </c>
      <c r="G198" s="369">
        <v>-92482.007603999926</v>
      </c>
      <c r="H198" s="364">
        <v>-110841.96182000008</v>
      </c>
      <c r="I198" s="350">
        <f t="shared" si="42"/>
        <v>-505297.5372790001</v>
      </c>
      <c r="K198" s="66">
        <f t="shared" si="43"/>
        <v>0</v>
      </c>
      <c r="L198" s="66"/>
      <c r="M198" s="415">
        <v>192</v>
      </c>
      <c r="N198" s="415">
        <v>180</v>
      </c>
      <c r="O198" s="66" t="s">
        <v>476</v>
      </c>
      <c r="P198" t="s">
        <v>967</v>
      </c>
      <c r="Q198" s="364">
        <v>-110841.96182000008</v>
      </c>
      <c r="R198" t="s">
        <v>2580</v>
      </c>
      <c r="S198" s="250"/>
      <c r="T198" s="159">
        <f t="shared" si="46"/>
        <v>0</v>
      </c>
      <c r="U198" s="250"/>
      <c r="V198" s="415">
        <v>192</v>
      </c>
      <c r="W198" t="s">
        <v>476</v>
      </c>
      <c r="X198" t="s">
        <v>967</v>
      </c>
      <c r="Y198" s="364">
        <v>-120310.38222100005</v>
      </c>
      <c r="Z198" s="364">
        <v>-154592.16988000006</v>
      </c>
      <c r="AA198" s="369">
        <v>-147381.39797500003</v>
      </c>
      <c r="AB198" s="505">
        <v>-92482.007603999926</v>
      </c>
      <c r="AC198" s="350">
        <f t="shared" si="53"/>
        <v>-514765.95768000005</v>
      </c>
      <c r="AG198" s="159">
        <f t="shared" si="54"/>
        <v>0</v>
      </c>
      <c r="AI198" s="442" t="s">
        <v>476</v>
      </c>
      <c r="AJ198" t="s">
        <v>967</v>
      </c>
      <c r="AK198" s="373">
        <v>0</v>
      </c>
      <c r="AL198" s="364">
        <v>-154592.16988000006</v>
      </c>
      <c r="AM198" s="369">
        <v>-147381.39797500003</v>
      </c>
      <c r="AN198" s="505">
        <v>-92482.007603999926</v>
      </c>
      <c r="AO198" s="448">
        <v>-596610.53007600014</v>
      </c>
      <c r="AP198" s="448"/>
      <c r="AQ198" s="438"/>
      <c r="AR198" s="449">
        <f t="shared" si="56"/>
        <v>-394455.57545900001</v>
      </c>
      <c r="AS198" s="438"/>
      <c r="AT198" s="438"/>
      <c r="AU198" s="364">
        <v>-154592.16988000006</v>
      </c>
      <c r="AV198" s="369">
        <v>-147381.39797500003</v>
      </c>
      <c r="AW198" s="505">
        <v>-92482.007603999926</v>
      </c>
      <c r="AX198" s="452">
        <f t="shared" si="44"/>
        <v>-394455.57545900001</v>
      </c>
      <c r="AY198" s="250">
        <f t="shared" si="50"/>
        <v>0</v>
      </c>
      <c r="AZ198" s="439"/>
      <c r="BA198" s="582">
        <v>-110841.96182000008</v>
      </c>
      <c r="BB198" s="462">
        <f t="shared" si="45"/>
        <v>-505297.5372790001</v>
      </c>
      <c r="BC198" s="463">
        <f t="shared" si="52"/>
        <v>0</v>
      </c>
      <c r="BD198" s="431"/>
      <c r="BE198" s="435">
        <f t="shared" si="55"/>
        <v>0</v>
      </c>
    </row>
    <row r="199" spans="1:57" ht="15">
      <c r="A199" s="415">
        <v>193</v>
      </c>
      <c r="B199" s="415">
        <v>277</v>
      </c>
      <c r="C199" t="s">
        <v>646</v>
      </c>
      <c r="D199" t="s">
        <v>1040</v>
      </c>
      <c r="E199" s="364">
        <v>0</v>
      </c>
      <c r="F199" s="364">
        <v>-674726.08915557002</v>
      </c>
      <c r="G199" s="369">
        <v>-1044944.3082130007</v>
      </c>
      <c r="H199" s="364">
        <v>-1275161.2839701539</v>
      </c>
      <c r="I199" s="350">
        <f t="shared" ref="I199:I262" si="57">SUM(E199:H199)</f>
        <v>-2994831.6813387247</v>
      </c>
      <c r="K199" s="66">
        <f t="shared" ref="K199:K262" si="58">+O199-C199</f>
        <v>0</v>
      </c>
      <c r="L199" s="66"/>
      <c r="M199" s="415">
        <v>193</v>
      </c>
      <c r="N199" s="415">
        <v>277</v>
      </c>
      <c r="O199" s="66" t="s">
        <v>646</v>
      </c>
      <c r="P199" t="s">
        <v>1040</v>
      </c>
      <c r="Q199" s="364">
        <v>-1275161.2839701539</v>
      </c>
      <c r="R199" t="s">
        <v>2580</v>
      </c>
      <c r="S199" s="250"/>
      <c r="T199" s="159">
        <f t="shared" si="46"/>
        <v>0</v>
      </c>
      <c r="U199" s="250"/>
      <c r="V199" s="415">
        <v>193</v>
      </c>
      <c r="W199" t="s">
        <v>646</v>
      </c>
      <c r="X199" t="s">
        <v>1040</v>
      </c>
      <c r="Y199" s="364">
        <v>-1061322.3406508819</v>
      </c>
      <c r="Z199" s="364">
        <v>0</v>
      </c>
      <c r="AA199" s="369">
        <v>-674726.08915557002</v>
      </c>
      <c r="AB199" s="505">
        <v>-1044944.3082130007</v>
      </c>
      <c r="AC199" s="350">
        <f t="shared" si="53"/>
        <v>-2780992.7380194524</v>
      </c>
      <c r="AG199" s="159">
        <f t="shared" si="54"/>
        <v>0</v>
      </c>
      <c r="AI199" s="442" t="s">
        <v>646</v>
      </c>
      <c r="AJ199" t="s">
        <v>1040</v>
      </c>
      <c r="AK199" s="373">
        <v>0</v>
      </c>
      <c r="AL199" s="364">
        <v>0</v>
      </c>
      <c r="AM199" s="369">
        <v>-674726.08915557002</v>
      </c>
      <c r="AN199" s="505">
        <v>-1044944.3082130007</v>
      </c>
      <c r="AO199" s="448">
        <v>-2621258.6098064519</v>
      </c>
      <c r="AP199" s="448"/>
      <c r="AQ199" s="438"/>
      <c r="AR199" s="449">
        <f t="shared" si="56"/>
        <v>-1719670.3973685708</v>
      </c>
      <c r="AS199" s="438"/>
      <c r="AT199" s="438"/>
      <c r="AU199" s="364">
        <v>0</v>
      </c>
      <c r="AV199" s="369">
        <v>-674726.08915557002</v>
      </c>
      <c r="AW199" s="505">
        <v>-1044944.3082130007</v>
      </c>
      <c r="AX199" s="452">
        <f t="shared" ref="AX199:AX242" si="59">SUM(AU199:AW199)</f>
        <v>-1719670.3973685708</v>
      </c>
      <c r="AY199" s="250">
        <f t="shared" si="50"/>
        <v>0</v>
      </c>
      <c r="AZ199" s="439"/>
      <c r="BA199" s="582">
        <v>-1275161.2839701539</v>
      </c>
      <c r="BB199" s="462">
        <f t="shared" ref="BB199:BB262" si="60">+BA199+AX199</f>
        <v>-2994831.6813387247</v>
      </c>
      <c r="BC199" s="463">
        <f t="shared" si="52"/>
        <v>0</v>
      </c>
      <c r="BD199" s="431"/>
      <c r="BE199" s="435">
        <f t="shared" si="55"/>
        <v>0</v>
      </c>
    </row>
    <row r="200" spans="1:57" ht="15">
      <c r="A200" s="415">
        <v>194</v>
      </c>
      <c r="B200" s="415">
        <v>179</v>
      </c>
      <c r="C200" t="s">
        <v>474</v>
      </c>
      <c r="D200" t="s">
        <v>966</v>
      </c>
      <c r="E200" s="364">
        <v>0</v>
      </c>
      <c r="F200" s="364">
        <v>55407.32</v>
      </c>
      <c r="G200" s="369">
        <v>-3898.0726759999525</v>
      </c>
      <c r="H200" s="364">
        <v>-115948.89175199997</v>
      </c>
      <c r="I200" s="350">
        <f t="shared" si="57"/>
        <v>-64439.64442799992</v>
      </c>
      <c r="K200" s="66">
        <f t="shared" si="58"/>
        <v>0</v>
      </c>
      <c r="L200" s="66"/>
      <c r="M200" s="415">
        <v>194</v>
      </c>
      <c r="N200" s="415">
        <v>179</v>
      </c>
      <c r="O200" s="66" t="s">
        <v>474</v>
      </c>
      <c r="P200" t="s">
        <v>966</v>
      </c>
      <c r="Q200" s="364">
        <v>-115948.89175199997</v>
      </c>
      <c r="R200" t="s">
        <v>2580</v>
      </c>
      <c r="S200" s="250"/>
      <c r="T200" s="159">
        <f t="shared" ref="T200:T263" si="61">+W200-C200</f>
        <v>0</v>
      </c>
      <c r="U200" s="250"/>
      <c r="V200" s="415">
        <v>194</v>
      </c>
      <c r="W200" t="s">
        <v>474</v>
      </c>
      <c r="X200" t="s">
        <v>966</v>
      </c>
      <c r="Y200" s="364">
        <v>0</v>
      </c>
      <c r="Z200" s="364">
        <v>0</v>
      </c>
      <c r="AA200" s="369">
        <v>55407.32</v>
      </c>
      <c r="AB200" s="505">
        <v>-3898.0726759999525</v>
      </c>
      <c r="AC200" s="350">
        <f t="shared" si="53"/>
        <v>51509.247324000047</v>
      </c>
      <c r="AG200" s="159">
        <f t="shared" si="54"/>
        <v>0</v>
      </c>
      <c r="AI200" s="442" t="s">
        <v>474</v>
      </c>
      <c r="AJ200" t="s">
        <v>966</v>
      </c>
      <c r="AK200" s="373">
        <v>0</v>
      </c>
      <c r="AL200" s="364">
        <v>0</v>
      </c>
      <c r="AM200" s="369">
        <v>55407.32</v>
      </c>
      <c r="AN200" s="505">
        <v>-3898.0726759999525</v>
      </c>
      <c r="AO200" s="448">
        <v>55407.324920000217</v>
      </c>
      <c r="AP200" s="450">
        <f>+AN200+AK200</f>
        <v>-3898.0726759999525</v>
      </c>
      <c r="AQ200" s="438"/>
      <c r="AR200" s="449">
        <f t="shared" si="56"/>
        <v>51509.247324000047</v>
      </c>
      <c r="AS200" s="438"/>
      <c r="AT200" s="438"/>
      <c r="AU200" s="364">
        <v>0</v>
      </c>
      <c r="AV200" s="369">
        <v>55407.32</v>
      </c>
      <c r="AW200" s="505">
        <v>-3898.0726759999525</v>
      </c>
      <c r="AX200" s="452">
        <f t="shared" si="59"/>
        <v>51509.247324000047</v>
      </c>
      <c r="AY200" s="250">
        <f t="shared" si="50"/>
        <v>0</v>
      </c>
      <c r="AZ200" s="439"/>
      <c r="BA200" s="582">
        <v>-115948.89175199997</v>
      </c>
      <c r="BB200" s="462">
        <f t="shared" si="60"/>
        <v>-64439.64442799992</v>
      </c>
      <c r="BC200" s="463">
        <f t="shared" si="52"/>
        <v>0</v>
      </c>
      <c r="BD200" s="431"/>
      <c r="BE200" s="435">
        <f t="shared" si="55"/>
        <v>0</v>
      </c>
    </row>
    <row r="201" spans="1:57" ht="15">
      <c r="A201" s="415">
        <v>195</v>
      </c>
      <c r="B201" s="415">
        <v>158</v>
      </c>
      <c r="C201" t="s">
        <v>432</v>
      </c>
      <c r="D201" t="s">
        <v>946</v>
      </c>
      <c r="E201" s="364">
        <v>376454.72190659819</v>
      </c>
      <c r="F201" s="364">
        <v>75692.494293999902</v>
      </c>
      <c r="G201" s="369">
        <v>90845.562520000152</v>
      </c>
      <c r="H201" s="364">
        <v>50006.013374999864</v>
      </c>
      <c r="I201" s="350">
        <f t="shared" si="57"/>
        <v>592998.79209559807</v>
      </c>
      <c r="K201" s="66">
        <f t="shared" si="58"/>
        <v>0</v>
      </c>
      <c r="L201" s="66"/>
      <c r="M201" s="415">
        <v>195</v>
      </c>
      <c r="N201" s="415">
        <v>158</v>
      </c>
      <c r="O201" s="66" t="s">
        <v>432</v>
      </c>
      <c r="P201" t="s">
        <v>946</v>
      </c>
      <c r="Q201" s="364">
        <v>50006.013374999864</v>
      </c>
      <c r="R201" t="s">
        <v>2580</v>
      </c>
      <c r="S201" s="250"/>
      <c r="T201" s="159">
        <f t="shared" si="61"/>
        <v>0</v>
      </c>
      <c r="U201" s="250"/>
      <c r="V201" s="415">
        <v>195</v>
      </c>
      <c r="W201" t="s">
        <v>432</v>
      </c>
      <c r="X201" t="s">
        <v>946</v>
      </c>
      <c r="Y201" s="364">
        <v>286474.78518859821</v>
      </c>
      <c r="Z201" s="364">
        <v>89979.936717999983</v>
      </c>
      <c r="AA201" s="369">
        <v>75692.494293999902</v>
      </c>
      <c r="AB201" s="505">
        <v>90845.562520000152</v>
      </c>
      <c r="AC201" s="350">
        <f t="shared" si="53"/>
        <v>542992.7787205982</v>
      </c>
      <c r="AG201" s="159">
        <f t="shared" si="54"/>
        <v>0</v>
      </c>
      <c r="AI201" s="442" t="s">
        <v>432</v>
      </c>
      <c r="AJ201" t="s">
        <v>946</v>
      </c>
      <c r="AK201" s="373">
        <v>0</v>
      </c>
      <c r="AL201" s="585">
        <v>376454.72190659819</v>
      </c>
      <c r="AM201" s="369">
        <v>75692.494293999902</v>
      </c>
      <c r="AN201" s="505">
        <v>90845.562520000152</v>
      </c>
      <c r="AO201" s="448">
        <v>452147.21620059811</v>
      </c>
      <c r="AP201" s="448">
        <v>376454.72190659819</v>
      </c>
      <c r="AQ201" s="438"/>
      <c r="AR201" s="449">
        <f t="shared" si="56"/>
        <v>542992.7787205982</v>
      </c>
      <c r="AS201" s="438"/>
      <c r="AT201" s="438"/>
      <c r="AU201" s="585">
        <v>376454.72190659819</v>
      </c>
      <c r="AV201" s="369">
        <v>75692.494293999902</v>
      </c>
      <c r="AW201" s="505">
        <v>90845.562520000152</v>
      </c>
      <c r="AX201" s="452">
        <f t="shared" si="59"/>
        <v>542992.7787205982</v>
      </c>
      <c r="AY201" s="250">
        <f t="shared" si="50"/>
        <v>0</v>
      </c>
      <c r="AZ201" s="439"/>
      <c r="BA201" s="582">
        <v>50006.013374999864</v>
      </c>
      <c r="BB201" s="462">
        <f t="shared" si="60"/>
        <v>592998.79209559807</v>
      </c>
      <c r="BC201" s="463">
        <f t="shared" si="52"/>
        <v>0</v>
      </c>
      <c r="BD201" s="431"/>
      <c r="BE201" s="435">
        <f t="shared" si="55"/>
        <v>0</v>
      </c>
    </row>
    <row r="202" spans="1:57" ht="15">
      <c r="A202" s="415">
        <v>196</v>
      </c>
      <c r="B202" s="415">
        <v>262</v>
      </c>
      <c r="C202" t="s">
        <v>618</v>
      </c>
      <c r="D202" t="s">
        <v>1027</v>
      </c>
      <c r="E202" s="364">
        <v>-45066.646125999985</v>
      </c>
      <c r="F202" s="364">
        <v>-50927.543875999996</v>
      </c>
      <c r="G202" s="369">
        <v>-76366.031950000004</v>
      </c>
      <c r="H202" s="364">
        <v>-76699.675556000002</v>
      </c>
      <c r="I202" s="350">
        <f t="shared" si="57"/>
        <v>-249059.89750799999</v>
      </c>
      <c r="K202" s="66">
        <f t="shared" si="58"/>
        <v>0</v>
      </c>
      <c r="L202" s="66"/>
      <c r="M202" s="415">
        <v>196</v>
      </c>
      <c r="N202" s="415">
        <v>262</v>
      </c>
      <c r="O202" s="66" t="s">
        <v>618</v>
      </c>
      <c r="P202" t="s">
        <v>1027</v>
      </c>
      <c r="Q202" s="364">
        <v>-76699.675556000002</v>
      </c>
      <c r="R202" t="s">
        <v>2580</v>
      </c>
      <c r="S202" s="250"/>
      <c r="T202" s="159">
        <f t="shared" si="61"/>
        <v>0</v>
      </c>
      <c r="U202" s="250"/>
      <c r="V202" s="415">
        <v>196</v>
      </c>
      <c r="W202" t="s">
        <v>618</v>
      </c>
      <c r="X202" t="s">
        <v>1027</v>
      </c>
      <c r="Y202" s="364">
        <v>-36100.950751000004</v>
      </c>
      <c r="Z202" s="364">
        <v>-45066.646125999985</v>
      </c>
      <c r="AA202" s="369">
        <v>-50927.543875999996</v>
      </c>
      <c r="AB202" s="505">
        <v>-76366.031950000004</v>
      </c>
      <c r="AC202" s="350">
        <f t="shared" si="53"/>
        <v>-208461.17270299999</v>
      </c>
      <c r="AG202" s="159">
        <f t="shared" si="54"/>
        <v>0</v>
      </c>
      <c r="AI202" s="442" t="s">
        <v>618</v>
      </c>
      <c r="AJ202" t="s">
        <v>1027</v>
      </c>
      <c r="AK202" s="373">
        <v>0</v>
      </c>
      <c r="AL202" s="364">
        <v>-45066.646125999985</v>
      </c>
      <c r="AM202" s="369">
        <v>-50927.543875999996</v>
      </c>
      <c r="AN202" s="505">
        <v>-76366.031950000004</v>
      </c>
      <c r="AO202" s="448">
        <v>-191868.470753</v>
      </c>
      <c r="AP202" s="448"/>
      <c r="AQ202" s="438"/>
      <c r="AR202" s="449">
        <f t="shared" si="56"/>
        <v>-172360.22195199999</v>
      </c>
      <c r="AS202" s="438"/>
      <c r="AT202" s="438"/>
      <c r="AU202" s="364">
        <v>-45066.646125999985</v>
      </c>
      <c r="AV202" s="369">
        <v>-50927.543875999996</v>
      </c>
      <c r="AW202" s="505">
        <v>-76366.031950000004</v>
      </c>
      <c r="AX202" s="452">
        <f t="shared" si="59"/>
        <v>-172360.22195199999</v>
      </c>
      <c r="AY202" s="250">
        <f t="shared" si="50"/>
        <v>0</v>
      </c>
      <c r="AZ202" s="439"/>
      <c r="BA202" s="582">
        <v>-76699.675556000002</v>
      </c>
      <c r="BB202" s="462">
        <f t="shared" si="60"/>
        <v>-249059.89750799999</v>
      </c>
      <c r="BC202" s="463">
        <f t="shared" si="52"/>
        <v>0</v>
      </c>
      <c r="BD202" s="431"/>
      <c r="BE202" s="435">
        <f t="shared" si="55"/>
        <v>0</v>
      </c>
    </row>
    <row r="203" spans="1:57" ht="15">
      <c r="A203" s="415">
        <v>197</v>
      </c>
      <c r="B203" s="415">
        <v>215</v>
      </c>
      <c r="C203" t="s">
        <v>537</v>
      </c>
      <c r="D203" t="s">
        <v>1618</v>
      </c>
      <c r="E203" s="364">
        <v>-65636.717180000036</v>
      </c>
      <c r="F203" s="364">
        <v>-106366.61859199993</v>
      </c>
      <c r="G203" s="369">
        <v>-171336.61478400003</v>
      </c>
      <c r="H203" s="364">
        <v>-186534.78716800001</v>
      </c>
      <c r="I203" s="350">
        <f t="shared" si="57"/>
        <v>-529874.73772400001</v>
      </c>
      <c r="K203" s="66">
        <f t="shared" si="58"/>
        <v>0</v>
      </c>
      <c r="L203" s="66"/>
      <c r="M203" s="415">
        <v>197</v>
      </c>
      <c r="N203" s="415">
        <v>215</v>
      </c>
      <c r="O203" s="66" t="s">
        <v>537</v>
      </c>
      <c r="P203" t="s">
        <v>1618</v>
      </c>
      <c r="Q203" s="364">
        <v>-186534.78716800001</v>
      </c>
      <c r="R203" t="s">
        <v>2580</v>
      </c>
      <c r="S203" s="250"/>
      <c r="T203" s="159">
        <f t="shared" si="61"/>
        <v>0</v>
      </c>
      <c r="U203" s="250"/>
      <c r="V203" s="415">
        <v>197</v>
      </c>
      <c r="W203" t="s">
        <v>537</v>
      </c>
      <c r="X203" t="s">
        <v>1618</v>
      </c>
      <c r="Y203" s="364">
        <v>-135347.04663200001</v>
      </c>
      <c r="Z203" s="364">
        <v>-65636.717180000036</v>
      </c>
      <c r="AA203" s="369">
        <v>-106366.61859199993</v>
      </c>
      <c r="AB203" s="505">
        <v>-171336.61478400003</v>
      </c>
      <c r="AC203" s="350">
        <f t="shared" si="53"/>
        <v>-478686.99718800001</v>
      </c>
      <c r="AG203" s="159">
        <f t="shared" si="54"/>
        <v>0</v>
      </c>
      <c r="AI203" s="442" t="s">
        <v>537</v>
      </c>
      <c r="AJ203" t="s">
        <v>1618</v>
      </c>
      <c r="AK203" s="373">
        <v>0</v>
      </c>
      <c r="AL203" s="364">
        <v>-65636.717180000036</v>
      </c>
      <c r="AM203" s="369">
        <v>-106366.61859199993</v>
      </c>
      <c r="AN203" s="505">
        <v>-171336.61478400003</v>
      </c>
      <c r="AO203" s="448">
        <v>-391193.35240399995</v>
      </c>
      <c r="AP203" s="448"/>
      <c r="AQ203" s="438"/>
      <c r="AR203" s="449">
        <f t="shared" si="56"/>
        <v>-343339.950556</v>
      </c>
      <c r="AS203" s="438"/>
      <c r="AT203" s="438"/>
      <c r="AU203" s="364">
        <v>-65636.717180000036</v>
      </c>
      <c r="AV203" s="369">
        <v>-106366.61859199993</v>
      </c>
      <c r="AW203" s="505">
        <v>-171336.61478400003</v>
      </c>
      <c r="AX203" s="452">
        <f t="shared" si="59"/>
        <v>-343339.950556</v>
      </c>
      <c r="AY203" s="250">
        <f t="shared" si="50"/>
        <v>0</v>
      </c>
      <c r="AZ203" s="439"/>
      <c r="BA203" s="582">
        <v>-186534.78716800001</v>
      </c>
      <c r="BB203" s="462">
        <f t="shared" si="60"/>
        <v>-529874.73772400001</v>
      </c>
      <c r="BC203" s="463">
        <f t="shared" si="52"/>
        <v>0</v>
      </c>
      <c r="BD203" s="431"/>
      <c r="BE203" s="435">
        <f t="shared" si="55"/>
        <v>0</v>
      </c>
    </row>
    <row r="204" spans="1:57" ht="15">
      <c r="A204" s="415">
        <v>198</v>
      </c>
      <c r="B204" s="415">
        <v>245</v>
      </c>
      <c r="C204" s="339" t="s">
        <v>594</v>
      </c>
      <c r="D204" s="340" t="s">
        <v>595</v>
      </c>
      <c r="E204" s="372"/>
      <c r="F204" s="363"/>
      <c r="G204" s="369">
        <v>-3073.8045250000005</v>
      </c>
      <c r="H204" s="364">
        <v>-3147.07</v>
      </c>
      <c r="I204" s="350">
        <f t="shared" si="57"/>
        <v>-6220.8745250000011</v>
      </c>
      <c r="K204" s="66">
        <f t="shared" si="58"/>
        <v>0</v>
      </c>
      <c r="L204" s="66"/>
      <c r="M204" s="415">
        <v>198</v>
      </c>
      <c r="N204" s="415">
        <v>245</v>
      </c>
      <c r="O204" s="66" t="s">
        <v>594</v>
      </c>
      <c r="P204" s="340" t="s">
        <v>595</v>
      </c>
      <c r="Q204" s="364">
        <v>-3147.07</v>
      </c>
      <c r="R204" t="s">
        <v>2580</v>
      </c>
      <c r="S204" s="250"/>
      <c r="T204" s="159">
        <f t="shared" si="61"/>
        <v>0</v>
      </c>
      <c r="U204" s="250"/>
      <c r="V204" s="415">
        <v>198</v>
      </c>
      <c r="W204" s="339" t="s">
        <v>594</v>
      </c>
      <c r="X204" s="340" t="s">
        <v>595</v>
      </c>
      <c r="Y204" s="372">
        <v>0</v>
      </c>
      <c r="Z204" s="363"/>
      <c r="AA204" s="369"/>
      <c r="AB204" s="505">
        <v>-3073.8045250000005</v>
      </c>
      <c r="AC204" s="350">
        <f t="shared" si="53"/>
        <v>-3073.8045250000005</v>
      </c>
      <c r="AG204" s="159">
        <f t="shared" si="54"/>
        <v>0</v>
      </c>
      <c r="AI204" s="442" t="s">
        <v>594</v>
      </c>
      <c r="AJ204" s="340" t="s">
        <v>595</v>
      </c>
      <c r="AK204" s="373">
        <v>0</v>
      </c>
      <c r="AL204" s="363"/>
      <c r="AM204" s="369"/>
      <c r="AN204" s="505">
        <v>-3073.8045250000005</v>
      </c>
      <c r="AO204" s="448">
        <v>0</v>
      </c>
      <c r="AP204" s="448"/>
      <c r="AQ204" s="438"/>
      <c r="AR204" s="449">
        <f t="shared" si="56"/>
        <v>-3073.8045250000005</v>
      </c>
      <c r="AS204" s="438"/>
      <c r="AT204" s="438"/>
      <c r="AU204" s="363"/>
      <c r="AV204" s="369"/>
      <c r="AW204" s="505">
        <v>-3073.8045250000005</v>
      </c>
      <c r="AX204" s="452">
        <f t="shared" si="59"/>
        <v>-3073.8045250000005</v>
      </c>
      <c r="AY204" s="250">
        <f t="shared" si="50"/>
        <v>0</v>
      </c>
      <c r="AZ204" s="439"/>
      <c r="BA204" s="582">
        <v>-3147.07</v>
      </c>
      <c r="BB204" s="462">
        <f t="shared" si="60"/>
        <v>-6220.8745250000011</v>
      </c>
      <c r="BC204" s="463">
        <f t="shared" si="52"/>
        <v>0</v>
      </c>
      <c r="BD204" s="431"/>
      <c r="BE204" s="435">
        <f t="shared" si="55"/>
        <v>0</v>
      </c>
    </row>
    <row r="205" spans="1:57" ht="15">
      <c r="A205" s="415">
        <v>199</v>
      </c>
      <c r="B205" s="415">
        <v>57</v>
      </c>
      <c r="C205" t="s">
        <v>261</v>
      </c>
      <c r="D205" t="s">
        <v>871</v>
      </c>
      <c r="E205" s="373">
        <v>-47466.549693999994</v>
      </c>
      <c r="F205" s="364">
        <v>-55689.262915999992</v>
      </c>
      <c r="G205" s="369">
        <v>-41067.654343999988</v>
      </c>
      <c r="H205" s="364">
        <v>-47436.341520000009</v>
      </c>
      <c r="I205" s="350">
        <f t="shared" si="57"/>
        <v>-191659.80847399999</v>
      </c>
      <c r="K205" s="66">
        <f t="shared" si="58"/>
        <v>0</v>
      </c>
      <c r="L205" s="66"/>
      <c r="M205" s="415">
        <v>199</v>
      </c>
      <c r="N205" s="415">
        <v>57</v>
      </c>
      <c r="O205" s="66" t="s">
        <v>261</v>
      </c>
      <c r="P205" t="s">
        <v>871</v>
      </c>
      <c r="Q205" s="364">
        <v>-47436.341520000009</v>
      </c>
      <c r="R205" t="s">
        <v>2580</v>
      </c>
      <c r="S205" s="250"/>
      <c r="T205" s="159">
        <f t="shared" si="61"/>
        <v>0</v>
      </c>
      <c r="U205" s="250"/>
      <c r="V205" s="415">
        <v>199</v>
      </c>
      <c r="W205" t="s">
        <v>261</v>
      </c>
      <c r="X205" t="s">
        <v>871</v>
      </c>
      <c r="Y205" s="373">
        <v>-65702.291271999973</v>
      </c>
      <c r="Z205" s="364">
        <v>-47466.549693999994</v>
      </c>
      <c r="AA205" s="369">
        <v>-55689.262915999992</v>
      </c>
      <c r="AB205" s="505">
        <v>-41067.654343999988</v>
      </c>
      <c r="AC205" s="350">
        <f t="shared" si="53"/>
        <v>-209925.75822599995</v>
      </c>
      <c r="AG205" s="159">
        <f t="shared" si="54"/>
        <v>0</v>
      </c>
      <c r="AI205" s="442" t="s">
        <v>261</v>
      </c>
      <c r="AJ205" t="s">
        <v>871</v>
      </c>
      <c r="AK205" s="373">
        <v>0</v>
      </c>
      <c r="AL205" s="364">
        <v>-47466.549693999994</v>
      </c>
      <c r="AM205" s="369">
        <v>-55689.262915999992</v>
      </c>
      <c r="AN205" s="505">
        <v>-41067.654343999988</v>
      </c>
      <c r="AO205" s="448">
        <v>-206143.58388199995</v>
      </c>
      <c r="AP205" s="448"/>
      <c r="AQ205" s="438"/>
      <c r="AR205" s="449">
        <f t="shared" si="56"/>
        <v>-144223.46695399997</v>
      </c>
      <c r="AS205" s="438"/>
      <c r="AT205" s="438"/>
      <c r="AU205" s="364">
        <v>-47466.549693999994</v>
      </c>
      <c r="AV205" s="369">
        <v>-55689.262915999992</v>
      </c>
      <c r="AW205" s="505">
        <v>-41067.654343999988</v>
      </c>
      <c r="AX205" s="452">
        <f t="shared" si="59"/>
        <v>-144223.46695399997</v>
      </c>
      <c r="AY205" s="250">
        <f t="shared" si="50"/>
        <v>0</v>
      </c>
      <c r="AZ205" s="439"/>
      <c r="BA205" s="582">
        <v>-47436.341520000009</v>
      </c>
      <c r="BB205" s="462">
        <f t="shared" si="60"/>
        <v>-191659.80847399999</v>
      </c>
      <c r="BC205" s="463">
        <f t="shared" si="52"/>
        <v>0</v>
      </c>
      <c r="BD205" s="431"/>
      <c r="BE205" s="435">
        <f t="shared" si="55"/>
        <v>0</v>
      </c>
    </row>
    <row r="206" spans="1:57" ht="15">
      <c r="A206" s="415">
        <v>200</v>
      </c>
      <c r="B206" s="415">
        <v>49</v>
      </c>
      <c r="C206" t="s">
        <v>245</v>
      </c>
      <c r="D206" t="s">
        <v>863</v>
      </c>
      <c r="E206" s="373">
        <v>-49310.580900999979</v>
      </c>
      <c r="F206" s="364">
        <v>-17132.761788000018</v>
      </c>
      <c r="G206" s="369">
        <v>-74522.067596000052</v>
      </c>
      <c r="H206" s="364">
        <v>-55354.861639777489</v>
      </c>
      <c r="I206" s="350">
        <f t="shared" si="57"/>
        <v>-196320.27192477754</v>
      </c>
      <c r="K206" s="66">
        <f t="shared" si="58"/>
        <v>0</v>
      </c>
      <c r="L206" s="66"/>
      <c r="M206" s="415">
        <v>200</v>
      </c>
      <c r="N206" s="415">
        <v>49</v>
      </c>
      <c r="O206" s="66" t="s">
        <v>245</v>
      </c>
      <c r="P206" t="s">
        <v>863</v>
      </c>
      <c r="Q206" s="364">
        <v>-55354.861639777489</v>
      </c>
      <c r="R206" t="s">
        <v>2580</v>
      </c>
      <c r="S206" s="250"/>
      <c r="T206" s="159">
        <f t="shared" si="61"/>
        <v>0</v>
      </c>
      <c r="U206" s="250"/>
      <c r="V206" s="415">
        <v>200</v>
      </c>
      <c r="W206" t="s">
        <v>245</v>
      </c>
      <c r="X206" t="s">
        <v>863</v>
      </c>
      <c r="Y206" s="373">
        <v>-86579.023230000006</v>
      </c>
      <c r="Z206" s="364">
        <v>-49310.580900999979</v>
      </c>
      <c r="AA206" s="369">
        <v>-17132.761788000018</v>
      </c>
      <c r="AB206" s="505">
        <v>-74522.067596000052</v>
      </c>
      <c r="AC206" s="350">
        <f t="shared" si="53"/>
        <v>-227544.43351500004</v>
      </c>
      <c r="AG206" s="159">
        <f t="shared" si="54"/>
        <v>0</v>
      </c>
      <c r="AI206" s="442" t="s">
        <v>245</v>
      </c>
      <c r="AJ206" t="s">
        <v>863</v>
      </c>
      <c r="AK206" s="373">
        <v>0</v>
      </c>
      <c r="AL206" s="364">
        <v>-49310.580900999979</v>
      </c>
      <c r="AM206" s="369">
        <v>-17132.761788000018</v>
      </c>
      <c r="AN206" s="505">
        <v>-74522.067596000052</v>
      </c>
      <c r="AO206" s="448">
        <v>-153022.365919</v>
      </c>
      <c r="AP206" s="448"/>
      <c r="AQ206" s="438"/>
      <c r="AR206" s="449">
        <f t="shared" si="56"/>
        <v>-140965.41028500005</v>
      </c>
      <c r="AS206" s="438"/>
      <c r="AT206" s="438"/>
      <c r="AU206" s="364">
        <v>-49310.580900999979</v>
      </c>
      <c r="AV206" s="369">
        <v>-17132.761788000018</v>
      </c>
      <c r="AW206" s="505">
        <v>-74522.067596000052</v>
      </c>
      <c r="AX206" s="452">
        <f t="shared" si="59"/>
        <v>-140965.41028500005</v>
      </c>
      <c r="AY206" s="250">
        <f t="shared" si="50"/>
        <v>0</v>
      </c>
      <c r="AZ206" s="439"/>
      <c r="BA206" s="582">
        <v>-55354.861639777489</v>
      </c>
      <c r="BB206" s="462">
        <f t="shared" si="60"/>
        <v>-196320.27192477754</v>
      </c>
      <c r="BC206" s="463">
        <f t="shared" si="52"/>
        <v>0</v>
      </c>
      <c r="BD206" s="431"/>
      <c r="BE206" s="435">
        <f t="shared" si="55"/>
        <v>0</v>
      </c>
    </row>
    <row r="207" spans="1:57" ht="15">
      <c r="A207" s="415">
        <v>201</v>
      </c>
      <c r="B207" s="415">
        <v>185</v>
      </c>
      <c r="C207" t="s">
        <v>486</v>
      </c>
      <c r="D207" t="s">
        <v>972</v>
      </c>
      <c r="E207" s="373">
        <v>-72964.940655999992</v>
      </c>
      <c r="F207" s="364">
        <v>-38470.547368000021</v>
      </c>
      <c r="G207" s="369">
        <v>-43818.996023999993</v>
      </c>
      <c r="H207" s="364">
        <v>-109332.44981200004</v>
      </c>
      <c r="I207" s="350">
        <f t="shared" si="57"/>
        <v>-264586.93386000005</v>
      </c>
      <c r="K207" s="66">
        <f t="shared" si="58"/>
        <v>0</v>
      </c>
      <c r="L207" s="66"/>
      <c r="M207" s="415">
        <v>201</v>
      </c>
      <c r="N207" s="415">
        <v>185</v>
      </c>
      <c r="O207" s="66" t="s">
        <v>486</v>
      </c>
      <c r="P207" t="s">
        <v>972</v>
      </c>
      <c r="Q207" s="364">
        <v>-109332.44981200004</v>
      </c>
      <c r="R207" t="s">
        <v>2580</v>
      </c>
      <c r="S207" s="250"/>
      <c r="T207" s="159">
        <f t="shared" si="61"/>
        <v>0</v>
      </c>
      <c r="U207" s="250"/>
      <c r="V207" s="415">
        <v>201</v>
      </c>
      <c r="W207" t="s">
        <v>486</v>
      </c>
      <c r="X207" t="s">
        <v>972</v>
      </c>
      <c r="Y207" s="373">
        <v>-17745.723837999991</v>
      </c>
      <c r="Z207" s="364">
        <v>-72964.940655999992</v>
      </c>
      <c r="AA207" s="369">
        <v>-38470.547368000021</v>
      </c>
      <c r="AB207" s="505">
        <v>-43818.996023999993</v>
      </c>
      <c r="AC207" s="350">
        <f t="shared" si="53"/>
        <v>-173000.20788599999</v>
      </c>
      <c r="AG207" s="159">
        <f t="shared" si="54"/>
        <v>0</v>
      </c>
      <c r="AI207" s="442" t="s">
        <v>486</v>
      </c>
      <c r="AJ207" t="s">
        <v>972</v>
      </c>
      <c r="AK207" s="373">
        <v>0</v>
      </c>
      <c r="AL207" s="364">
        <v>-72964.940655999992</v>
      </c>
      <c r="AM207" s="369">
        <v>-38470.547368000021</v>
      </c>
      <c r="AN207" s="505">
        <v>-43818.996023999993</v>
      </c>
      <c r="AO207" s="448">
        <v>-214012.251862</v>
      </c>
      <c r="AP207" s="448"/>
      <c r="AQ207" s="438"/>
      <c r="AR207" s="449">
        <f t="shared" si="56"/>
        <v>-155254.48404800001</v>
      </c>
      <c r="AS207" s="438"/>
      <c r="AT207" s="438"/>
      <c r="AU207" s="364">
        <v>-72964.940655999992</v>
      </c>
      <c r="AV207" s="369">
        <v>-38470.547368000021</v>
      </c>
      <c r="AW207" s="505">
        <v>-43818.996023999993</v>
      </c>
      <c r="AX207" s="452">
        <f t="shared" si="59"/>
        <v>-155254.48404800001</v>
      </c>
      <c r="AY207" s="250">
        <f t="shared" si="50"/>
        <v>0</v>
      </c>
      <c r="AZ207" s="439"/>
      <c r="BA207" s="582">
        <v>-109332.44981200004</v>
      </c>
      <c r="BB207" s="462">
        <f t="shared" si="60"/>
        <v>-264586.93386000005</v>
      </c>
      <c r="BC207" s="463">
        <f t="shared" si="52"/>
        <v>0</v>
      </c>
      <c r="BD207" s="431"/>
      <c r="BE207" s="435">
        <f t="shared" si="55"/>
        <v>0</v>
      </c>
    </row>
    <row r="208" spans="1:57" ht="15">
      <c r="A208" s="415">
        <v>202</v>
      </c>
      <c r="B208" s="415">
        <v>203</v>
      </c>
      <c r="C208" t="s">
        <v>519</v>
      </c>
      <c r="D208" t="s">
        <v>989</v>
      </c>
      <c r="E208" s="373">
        <v>0</v>
      </c>
      <c r="F208" s="364">
        <v>-311481.48091199994</v>
      </c>
      <c r="G208" s="369">
        <v>-407022.30608200002</v>
      </c>
      <c r="H208" s="364">
        <v>-451419.57300799992</v>
      </c>
      <c r="I208" s="350">
        <f t="shared" si="57"/>
        <v>-1169923.3600019999</v>
      </c>
      <c r="K208" s="66">
        <f t="shared" si="58"/>
        <v>0</v>
      </c>
      <c r="L208" s="66"/>
      <c r="M208" s="415">
        <v>202</v>
      </c>
      <c r="N208" s="415">
        <v>203</v>
      </c>
      <c r="O208" s="66" t="s">
        <v>519</v>
      </c>
      <c r="P208" t="s">
        <v>989</v>
      </c>
      <c r="Q208" s="364">
        <v>-451419.57300799992</v>
      </c>
      <c r="R208" t="s">
        <v>2580</v>
      </c>
      <c r="S208" s="250"/>
      <c r="T208" s="159">
        <f t="shared" si="61"/>
        <v>0</v>
      </c>
      <c r="U208" s="250"/>
      <c r="V208" s="415">
        <v>202</v>
      </c>
      <c r="W208" t="s">
        <v>519</v>
      </c>
      <c r="X208" t="s">
        <v>989</v>
      </c>
      <c r="Y208" s="373">
        <v>-198471.95965199999</v>
      </c>
      <c r="Z208" s="364">
        <v>0</v>
      </c>
      <c r="AA208" s="369">
        <v>-311481.48091199994</v>
      </c>
      <c r="AB208" s="505">
        <v>-407022.30608200002</v>
      </c>
      <c r="AC208" s="350">
        <f t="shared" si="53"/>
        <v>-916975.74664599996</v>
      </c>
      <c r="AG208" s="159">
        <f t="shared" si="54"/>
        <v>0</v>
      </c>
      <c r="AI208" s="442" t="s">
        <v>519</v>
      </c>
      <c r="AJ208" t="s">
        <v>989</v>
      </c>
      <c r="AK208" s="373">
        <v>0</v>
      </c>
      <c r="AL208" s="364">
        <v>0</v>
      </c>
      <c r="AM208" s="369">
        <v>-311481.48091199994</v>
      </c>
      <c r="AN208" s="505">
        <v>-407022.30608200002</v>
      </c>
      <c r="AO208" s="448">
        <v>-858842.22056399996</v>
      </c>
      <c r="AP208" s="448"/>
      <c r="AQ208" s="438"/>
      <c r="AR208" s="449">
        <f t="shared" si="56"/>
        <v>-718503.78699399997</v>
      </c>
      <c r="AS208" s="438"/>
      <c r="AT208" s="438"/>
      <c r="AU208" s="364">
        <v>0</v>
      </c>
      <c r="AV208" s="369">
        <v>-311481.48091199994</v>
      </c>
      <c r="AW208" s="505">
        <v>-407022.30608200002</v>
      </c>
      <c r="AX208" s="452">
        <f t="shared" si="59"/>
        <v>-718503.78699399997</v>
      </c>
      <c r="AY208" s="250">
        <f t="shared" si="50"/>
        <v>0</v>
      </c>
      <c r="AZ208" s="439"/>
      <c r="BA208" s="582">
        <v>-451419.57300799992</v>
      </c>
      <c r="BB208" s="462">
        <f t="shared" si="60"/>
        <v>-1169923.3600019999</v>
      </c>
      <c r="BC208" s="463">
        <f t="shared" si="52"/>
        <v>0</v>
      </c>
      <c r="BD208" s="431"/>
      <c r="BE208" s="435">
        <f t="shared" si="55"/>
        <v>0</v>
      </c>
    </row>
    <row r="209" spans="1:57" ht="15">
      <c r="A209" s="415">
        <v>203</v>
      </c>
      <c r="B209" s="415">
        <v>3</v>
      </c>
      <c r="C209" t="s">
        <v>167</v>
      </c>
      <c r="D209" t="s">
        <v>829</v>
      </c>
      <c r="E209" s="373">
        <v>0</v>
      </c>
      <c r="F209" s="364">
        <v>0</v>
      </c>
      <c r="G209" s="369">
        <v>195865.79141499987</v>
      </c>
      <c r="H209" s="364">
        <v>102318.9146540002</v>
      </c>
      <c r="I209" s="350">
        <f t="shared" si="57"/>
        <v>298184.70606900007</v>
      </c>
      <c r="K209" s="66">
        <f t="shared" si="58"/>
        <v>0</v>
      </c>
      <c r="L209" s="66"/>
      <c r="M209" s="415">
        <v>203</v>
      </c>
      <c r="N209" s="415">
        <v>3</v>
      </c>
      <c r="O209" s="66" t="s">
        <v>167</v>
      </c>
      <c r="P209" t="s">
        <v>829</v>
      </c>
      <c r="Q209" s="364">
        <v>102318.9146540002</v>
      </c>
      <c r="R209" t="s">
        <v>2580</v>
      </c>
      <c r="S209" s="250"/>
      <c r="T209" s="159">
        <f t="shared" si="61"/>
        <v>0</v>
      </c>
      <c r="U209" s="250"/>
      <c r="V209" s="415">
        <v>203</v>
      </c>
      <c r="W209" t="s">
        <v>167</v>
      </c>
      <c r="X209" t="s">
        <v>829</v>
      </c>
      <c r="Y209" s="373">
        <v>-138869.25699999946</v>
      </c>
      <c r="Z209" s="364">
        <v>0</v>
      </c>
      <c r="AA209" s="369">
        <v>57153.56</v>
      </c>
      <c r="AB209" s="505">
        <v>195865.79141499987</v>
      </c>
      <c r="AC209" s="350">
        <f t="shared" si="53"/>
        <v>114150.09441500041</v>
      </c>
      <c r="AG209" s="159">
        <f t="shared" si="54"/>
        <v>0</v>
      </c>
      <c r="AI209" s="442" t="s">
        <v>167</v>
      </c>
      <c r="AJ209" t="s">
        <v>829</v>
      </c>
      <c r="AK209" s="373">
        <v>0</v>
      </c>
      <c r="AL209" s="364">
        <v>0</v>
      </c>
      <c r="AM209" s="369">
        <v>0</v>
      </c>
      <c r="AN209" s="505">
        <v>195865.79141499987</v>
      </c>
      <c r="AO209" s="448">
        <v>-81715.693928000052</v>
      </c>
      <c r="AP209" s="450">
        <v>114150.09441500041</v>
      </c>
      <c r="AQ209" s="438"/>
      <c r="AR209" s="449">
        <f t="shared" si="56"/>
        <v>195865.79141499987</v>
      </c>
      <c r="AS209" s="438"/>
      <c r="AT209" s="438"/>
      <c r="AU209" s="364">
        <v>0</v>
      </c>
      <c r="AV209" s="369">
        <v>0</v>
      </c>
      <c r="AW209" s="505">
        <v>195865.79141499987</v>
      </c>
      <c r="AX209" s="452">
        <f t="shared" si="59"/>
        <v>195865.79141499987</v>
      </c>
      <c r="AY209" s="250">
        <f t="shared" si="50"/>
        <v>0</v>
      </c>
      <c r="AZ209" s="439"/>
      <c r="BA209" s="582">
        <v>102318.9146540002</v>
      </c>
      <c r="BB209" s="462">
        <f t="shared" si="60"/>
        <v>298184.70606900007</v>
      </c>
      <c r="BC209" s="463">
        <f t="shared" si="52"/>
        <v>0</v>
      </c>
      <c r="BD209" s="431"/>
      <c r="BE209" s="435">
        <f t="shared" si="55"/>
        <v>0</v>
      </c>
    </row>
    <row r="210" spans="1:57" ht="15">
      <c r="A210" s="415">
        <v>204</v>
      </c>
      <c r="B210" s="415">
        <v>51</v>
      </c>
      <c r="C210" t="s">
        <v>249</v>
      </c>
      <c r="D210" t="s">
        <v>865</v>
      </c>
      <c r="E210" s="373">
        <v>-70301.438900000008</v>
      </c>
      <c r="F210" s="364">
        <v>0</v>
      </c>
      <c r="G210" s="369">
        <v>-25050.989604000002</v>
      </c>
      <c r="H210" s="364">
        <v>-25118.847839999995</v>
      </c>
      <c r="I210" s="350">
        <f t="shared" si="57"/>
        <v>-120471.27634400001</v>
      </c>
      <c r="K210" s="66">
        <f t="shared" si="58"/>
        <v>0</v>
      </c>
      <c r="L210" s="66"/>
      <c r="M210" s="415">
        <v>204</v>
      </c>
      <c r="N210" s="415">
        <v>51</v>
      </c>
      <c r="O210" s="66" t="s">
        <v>249</v>
      </c>
      <c r="P210" t="s">
        <v>865</v>
      </c>
      <c r="Q210" s="364">
        <v>-25118.847839999995</v>
      </c>
      <c r="R210" t="s">
        <v>2580</v>
      </c>
      <c r="S210" s="250"/>
      <c r="T210" s="159">
        <f t="shared" si="61"/>
        <v>0</v>
      </c>
      <c r="U210" s="250"/>
      <c r="V210" s="415">
        <v>204</v>
      </c>
      <c r="W210" t="s">
        <v>249</v>
      </c>
      <c r="X210" t="s">
        <v>865</v>
      </c>
      <c r="Y210" s="373">
        <v>-34907.156202999991</v>
      </c>
      <c r="Z210" s="364">
        <v>-70301.438900000008</v>
      </c>
      <c r="AA210" s="369">
        <v>9137.0849760000019</v>
      </c>
      <c r="AB210" s="505">
        <v>-25050.989604000002</v>
      </c>
      <c r="AC210" s="350">
        <f t="shared" si="53"/>
        <v>-121122.499731</v>
      </c>
      <c r="AG210" s="159">
        <f t="shared" si="54"/>
        <v>0</v>
      </c>
      <c r="AI210" s="442" t="s">
        <v>249</v>
      </c>
      <c r="AJ210" t="s">
        <v>865</v>
      </c>
      <c r="AK210" s="373">
        <v>0</v>
      </c>
      <c r="AL210" s="364">
        <v>-70301.438900000008</v>
      </c>
      <c r="AM210" s="369">
        <v>0</v>
      </c>
      <c r="AN210" s="505">
        <v>-25050.989604000002</v>
      </c>
      <c r="AO210" s="448">
        <v>-98962.790127</v>
      </c>
      <c r="AP210" s="448"/>
      <c r="AQ210" s="438"/>
      <c r="AR210" s="449">
        <f t="shared" si="56"/>
        <v>-95352.42850400001</v>
      </c>
      <c r="AS210" s="438"/>
      <c r="AT210" s="438"/>
      <c r="AU210" s="364">
        <v>-70301.438900000008</v>
      </c>
      <c r="AV210" s="369">
        <v>0</v>
      </c>
      <c r="AW210" s="505">
        <v>-25050.989604000002</v>
      </c>
      <c r="AX210" s="452">
        <f t="shared" si="59"/>
        <v>-95352.42850400001</v>
      </c>
      <c r="AY210" s="250">
        <f t="shared" si="50"/>
        <v>0</v>
      </c>
      <c r="AZ210" s="439"/>
      <c r="BA210" s="582">
        <v>-25118.847839999995</v>
      </c>
      <c r="BB210" s="462">
        <f t="shared" si="60"/>
        <v>-120471.27634400001</v>
      </c>
      <c r="BC210" s="463">
        <f t="shared" si="52"/>
        <v>0</v>
      </c>
      <c r="BD210" s="431"/>
      <c r="BE210" s="435">
        <f t="shared" si="55"/>
        <v>0</v>
      </c>
    </row>
    <row r="211" spans="1:57" ht="15" customHeight="1">
      <c r="A211" s="415">
        <v>205</v>
      </c>
      <c r="B211" s="415">
        <v>306</v>
      </c>
      <c r="C211" t="s">
        <v>695</v>
      </c>
      <c r="D211" t="s">
        <v>696</v>
      </c>
      <c r="E211" s="373">
        <v>-35888.837627999994</v>
      </c>
      <c r="F211" s="364">
        <v>-56746.518771999967</v>
      </c>
      <c r="G211" s="369">
        <v>-85839.063873999985</v>
      </c>
      <c r="H211" s="364">
        <v>-88765.437684000004</v>
      </c>
      <c r="I211" s="350">
        <f t="shared" si="57"/>
        <v>-267239.85795799992</v>
      </c>
      <c r="K211" s="66">
        <f t="shared" si="58"/>
        <v>0</v>
      </c>
      <c r="L211" s="66"/>
      <c r="M211" s="415">
        <v>205</v>
      </c>
      <c r="N211" s="415">
        <v>306</v>
      </c>
      <c r="O211" s="66" t="s">
        <v>695</v>
      </c>
      <c r="P211" t="s">
        <v>696</v>
      </c>
      <c r="Q211" s="364">
        <v>-88765.437684000004</v>
      </c>
      <c r="R211" t="s">
        <v>2580</v>
      </c>
      <c r="S211" s="250"/>
      <c r="T211" s="159">
        <f t="shared" si="61"/>
        <v>0</v>
      </c>
      <c r="U211" s="250"/>
      <c r="V211" s="415">
        <v>205</v>
      </c>
      <c r="W211" t="s">
        <v>695</v>
      </c>
      <c r="X211" t="s">
        <v>696</v>
      </c>
      <c r="Y211" s="373">
        <v>-111072.262336</v>
      </c>
      <c r="Z211" s="364">
        <v>-35888.837627999994</v>
      </c>
      <c r="AA211" s="369">
        <v>-56746.518771999967</v>
      </c>
      <c r="AB211" s="505">
        <v>-85839.063873999985</v>
      </c>
      <c r="AC211" s="350">
        <f t="shared" si="53"/>
        <v>-289546.68260999996</v>
      </c>
      <c r="AG211" s="159">
        <f t="shared" si="54"/>
        <v>0</v>
      </c>
      <c r="AI211" s="442" t="s">
        <v>695</v>
      </c>
      <c r="AJ211" t="s">
        <v>696</v>
      </c>
      <c r="AK211" s="373">
        <v>0</v>
      </c>
      <c r="AL211" s="364">
        <v>-35888.837627999994</v>
      </c>
      <c r="AM211" s="369">
        <v>-56746.518771999967</v>
      </c>
      <c r="AN211" s="505">
        <v>-85839.063873999985</v>
      </c>
      <c r="AO211" s="448">
        <v>-253058.958736</v>
      </c>
      <c r="AP211" s="448"/>
      <c r="AQ211" s="438"/>
      <c r="AR211" s="449">
        <f t="shared" si="56"/>
        <v>-178474.42027399995</v>
      </c>
      <c r="AS211" s="438"/>
      <c r="AT211" s="438"/>
      <c r="AU211" s="364">
        <v>-35888.837627999994</v>
      </c>
      <c r="AV211" s="369">
        <v>-56746.518771999967</v>
      </c>
      <c r="AW211" s="505">
        <v>-85839.063873999985</v>
      </c>
      <c r="AX211" s="452">
        <f t="shared" si="59"/>
        <v>-178474.42027399995</v>
      </c>
      <c r="AY211" s="250">
        <f t="shared" si="50"/>
        <v>0</v>
      </c>
      <c r="AZ211" s="439"/>
      <c r="BA211" s="582">
        <v>-88765.437684000004</v>
      </c>
      <c r="BB211" s="462">
        <f t="shared" si="60"/>
        <v>-267239.85795799992</v>
      </c>
      <c r="BC211" s="463">
        <f t="shared" si="52"/>
        <v>0</v>
      </c>
      <c r="BD211" s="431"/>
      <c r="BE211" s="435">
        <f t="shared" si="55"/>
        <v>0</v>
      </c>
    </row>
    <row r="212" spans="1:57" ht="15" customHeight="1">
      <c r="A212" s="415">
        <v>206</v>
      </c>
      <c r="B212" s="415">
        <v>186</v>
      </c>
      <c r="C212" s="425" t="s">
        <v>2305</v>
      </c>
      <c r="D212" s="426" t="s">
        <v>2433</v>
      </c>
      <c r="E212" s="373"/>
      <c r="F212" s="364"/>
      <c r="G212" s="369">
        <v>-4117.5600280000072</v>
      </c>
      <c r="H212" s="364">
        <v>-6627.3057050000061</v>
      </c>
      <c r="I212" s="350">
        <f t="shared" si="57"/>
        <v>-10744.865733000013</v>
      </c>
      <c r="K212" s="66">
        <f t="shared" si="58"/>
        <v>0</v>
      </c>
      <c r="L212" s="66"/>
      <c r="M212" s="415">
        <v>206</v>
      </c>
      <c r="N212" s="415">
        <v>186</v>
      </c>
      <c r="O212" s="66" t="s">
        <v>2305</v>
      </c>
      <c r="P212" s="426" t="s">
        <v>2433</v>
      </c>
      <c r="Q212" s="364">
        <v>-6627.3057050000061</v>
      </c>
      <c r="R212" t="s">
        <v>2580</v>
      </c>
      <c r="S212" s="250"/>
      <c r="T212" s="159">
        <f t="shared" si="61"/>
        <v>0</v>
      </c>
      <c r="U212" s="250"/>
      <c r="V212" s="415">
        <v>206</v>
      </c>
      <c r="W212" s="425" t="s">
        <v>2305</v>
      </c>
      <c r="X212" s="426" t="s">
        <v>2433</v>
      </c>
      <c r="Y212" s="373"/>
      <c r="Z212" s="364"/>
      <c r="AA212" s="369"/>
      <c r="AB212" s="505">
        <v>-4117.5600280000072</v>
      </c>
      <c r="AC212" s="350"/>
      <c r="AG212" s="159"/>
      <c r="AI212" s="442"/>
      <c r="AJ212" s="426" t="s">
        <v>2433</v>
      </c>
      <c r="AK212" s="373"/>
      <c r="AL212" s="364"/>
      <c r="AM212" s="369"/>
      <c r="AN212" s="505">
        <v>-4117.5600280000072</v>
      </c>
      <c r="AO212" s="448"/>
      <c r="AP212" s="448"/>
      <c r="AQ212" s="438"/>
      <c r="AR212" s="449">
        <f t="shared" si="56"/>
        <v>-4117.5600280000072</v>
      </c>
      <c r="AS212" s="438"/>
      <c r="AT212" s="438"/>
      <c r="AU212" s="364"/>
      <c r="AV212" s="369"/>
      <c r="AW212" s="505">
        <v>-4117.5600280000072</v>
      </c>
      <c r="AX212" s="452">
        <f t="shared" si="59"/>
        <v>-4117.5600280000072</v>
      </c>
      <c r="AY212" s="250">
        <f t="shared" si="50"/>
        <v>0</v>
      </c>
      <c r="AZ212" s="439"/>
      <c r="BA212" s="582">
        <v>-6627.3057050000061</v>
      </c>
      <c r="BB212" s="462">
        <f t="shared" si="60"/>
        <v>-10744.865733000013</v>
      </c>
      <c r="BC212" s="463">
        <f t="shared" si="52"/>
        <v>0</v>
      </c>
      <c r="BD212" s="431"/>
      <c r="BE212" s="435">
        <f t="shared" si="55"/>
        <v>0</v>
      </c>
    </row>
    <row r="213" spans="1:57" ht="15">
      <c r="A213" s="415">
        <v>207</v>
      </c>
      <c r="B213" s="415">
        <v>60</v>
      </c>
      <c r="C213" t="s">
        <v>267</v>
      </c>
      <c r="D213" t="s">
        <v>874</v>
      </c>
      <c r="E213" s="373">
        <v>2625059.3201170014</v>
      </c>
      <c r="F213" s="364">
        <v>626971.13763400272</v>
      </c>
      <c r="G213" s="369">
        <v>-1066077.4693879988</v>
      </c>
      <c r="H213" s="364">
        <v>-1390289.1734989993</v>
      </c>
      <c r="I213" s="350">
        <f t="shared" si="57"/>
        <v>795663.81486400589</v>
      </c>
      <c r="K213" s="66">
        <f t="shared" si="58"/>
        <v>0</v>
      </c>
      <c r="L213" s="66"/>
      <c r="M213" s="415">
        <v>207</v>
      </c>
      <c r="N213" s="415">
        <v>60</v>
      </c>
      <c r="O213" s="66" t="s">
        <v>267</v>
      </c>
      <c r="P213" t="s">
        <v>874</v>
      </c>
      <c r="Q213" s="364">
        <v>-1390289.1734989993</v>
      </c>
      <c r="R213" t="s">
        <v>2580</v>
      </c>
      <c r="S213" s="250"/>
      <c r="T213" s="159">
        <f t="shared" si="61"/>
        <v>0</v>
      </c>
      <c r="U213" s="250"/>
      <c r="V213" s="415">
        <v>207</v>
      </c>
      <c r="W213" t="s">
        <v>267</v>
      </c>
      <c r="X213" t="s">
        <v>874</v>
      </c>
      <c r="Y213" s="373">
        <v>1024295.066037</v>
      </c>
      <c r="Z213" s="364">
        <v>1600764.2540800013</v>
      </c>
      <c r="AA213" s="369">
        <v>626971.13763400272</v>
      </c>
      <c r="AB213" s="505">
        <v>-1066077.4693879988</v>
      </c>
      <c r="AC213" s="350">
        <f t="shared" ref="AC213:AC246" si="62">SUM(Y213:AB213)</f>
        <v>2185952.9883630052</v>
      </c>
      <c r="AG213" s="159">
        <f t="shared" ref="AG213:AG246" si="63">+AI213-W213</f>
        <v>0</v>
      </c>
      <c r="AI213" s="442" t="s">
        <v>267</v>
      </c>
      <c r="AJ213" t="s">
        <v>874</v>
      </c>
      <c r="AK213" s="373">
        <v>0</v>
      </c>
      <c r="AL213" s="585">
        <v>2625059.3201170014</v>
      </c>
      <c r="AM213" s="369">
        <v>626971.13763400272</v>
      </c>
      <c r="AN213" s="505">
        <v>-1066077.4693879988</v>
      </c>
      <c r="AO213" s="448">
        <v>3252030.457751004</v>
      </c>
      <c r="AP213" s="448">
        <v>2625059.3201170014</v>
      </c>
      <c r="AQ213" s="438"/>
      <c r="AR213" s="449">
        <f t="shared" si="56"/>
        <v>2185952.9883630052</v>
      </c>
      <c r="AS213" s="438"/>
      <c r="AT213" s="438"/>
      <c r="AU213" s="585">
        <v>2625059.3201170014</v>
      </c>
      <c r="AV213" s="369">
        <v>626971.13763400272</v>
      </c>
      <c r="AW213" s="505">
        <v>-1066077.4693879988</v>
      </c>
      <c r="AX213" s="452">
        <f t="shared" si="59"/>
        <v>2185952.9883630052</v>
      </c>
      <c r="AY213" s="250">
        <f t="shared" si="50"/>
        <v>0</v>
      </c>
      <c r="AZ213" s="439"/>
      <c r="BA213" s="582">
        <v>-1390289.1734989993</v>
      </c>
      <c r="BB213" s="462">
        <f t="shared" si="60"/>
        <v>795663.81486400589</v>
      </c>
      <c r="BC213" s="463">
        <f t="shared" si="52"/>
        <v>0</v>
      </c>
      <c r="BD213" s="431"/>
      <c r="BE213" s="435">
        <f t="shared" si="55"/>
        <v>0</v>
      </c>
    </row>
    <row r="214" spans="1:57" ht="15">
      <c r="A214" s="415">
        <v>208</v>
      </c>
      <c r="B214" s="415">
        <v>182</v>
      </c>
      <c r="C214" t="s">
        <v>480</v>
      </c>
      <c r="D214" t="s">
        <v>969</v>
      </c>
      <c r="E214" s="373">
        <v>0</v>
      </c>
      <c r="F214" s="364">
        <v>-21978.505359999999</v>
      </c>
      <c r="G214" s="369">
        <v>-50306.254648000031</v>
      </c>
      <c r="H214" s="364">
        <v>-111507.563223</v>
      </c>
      <c r="I214" s="350">
        <f t="shared" si="57"/>
        <v>-183792.32323100005</v>
      </c>
      <c r="K214" s="66">
        <f t="shared" si="58"/>
        <v>0</v>
      </c>
      <c r="L214" s="66"/>
      <c r="M214" s="415">
        <v>208</v>
      </c>
      <c r="N214" s="415">
        <v>182</v>
      </c>
      <c r="O214" s="66" t="s">
        <v>480</v>
      </c>
      <c r="P214" t="s">
        <v>969</v>
      </c>
      <c r="Q214" s="364">
        <v>-111507.563223</v>
      </c>
      <c r="R214" t="s">
        <v>2580</v>
      </c>
      <c r="S214" s="250"/>
      <c r="T214" s="159">
        <f t="shared" si="61"/>
        <v>0</v>
      </c>
      <c r="U214" s="250"/>
      <c r="V214" s="415">
        <v>208</v>
      </c>
      <c r="W214" t="s">
        <v>480</v>
      </c>
      <c r="X214" t="s">
        <v>969</v>
      </c>
      <c r="Y214" s="373">
        <v>-5725.6914650000508</v>
      </c>
      <c r="Z214" s="364">
        <v>0</v>
      </c>
      <c r="AA214" s="369">
        <v>-21978.505359999999</v>
      </c>
      <c r="AB214" s="505">
        <v>-50306.254648000031</v>
      </c>
      <c r="AC214" s="350">
        <f t="shared" si="62"/>
        <v>-78010.451473000081</v>
      </c>
      <c r="AG214" s="159">
        <f t="shared" si="63"/>
        <v>0</v>
      </c>
      <c r="AI214" s="442" t="s">
        <v>480</v>
      </c>
      <c r="AJ214" t="s">
        <v>969</v>
      </c>
      <c r="AK214" s="373">
        <v>0</v>
      </c>
      <c r="AL214" s="364">
        <v>0</v>
      </c>
      <c r="AM214" s="369">
        <v>-21978.505359999999</v>
      </c>
      <c r="AN214" s="505">
        <v>-50306.254648000031</v>
      </c>
      <c r="AO214" s="448">
        <v>-64474.616825000048</v>
      </c>
      <c r="AP214" s="448"/>
      <c r="AQ214" s="438"/>
      <c r="AR214" s="449">
        <f t="shared" si="56"/>
        <v>-72284.760008000027</v>
      </c>
      <c r="AS214" s="438"/>
      <c r="AT214" s="438"/>
      <c r="AU214" s="364">
        <v>0</v>
      </c>
      <c r="AV214" s="369">
        <v>-21978.505359999999</v>
      </c>
      <c r="AW214" s="505">
        <v>-50306.254648000031</v>
      </c>
      <c r="AX214" s="452">
        <f t="shared" si="59"/>
        <v>-72284.760008000027</v>
      </c>
      <c r="AY214" s="250">
        <f t="shared" si="50"/>
        <v>0</v>
      </c>
      <c r="AZ214" s="439"/>
      <c r="BA214" s="582">
        <v>-111507.563223</v>
      </c>
      <c r="BB214" s="462">
        <f t="shared" si="60"/>
        <v>-183792.32323100005</v>
      </c>
      <c r="BC214" s="463">
        <f t="shared" si="52"/>
        <v>0</v>
      </c>
      <c r="BD214" s="431"/>
      <c r="BE214" s="435">
        <f t="shared" si="55"/>
        <v>0</v>
      </c>
    </row>
    <row r="215" spans="1:57" ht="15">
      <c r="A215" s="415">
        <v>209</v>
      </c>
      <c r="B215" s="415">
        <v>9</v>
      </c>
      <c r="C215" t="s">
        <v>179</v>
      </c>
      <c r="D215" t="s">
        <v>834</v>
      </c>
      <c r="E215" s="373">
        <v>-47126.986149999982</v>
      </c>
      <c r="F215" s="364">
        <v>-72561.552079999965</v>
      </c>
      <c r="G215" s="369">
        <v>-72303.307193000001</v>
      </c>
      <c r="H215" s="364">
        <v>-23012.060000000012</v>
      </c>
      <c r="I215" s="350">
        <f t="shared" si="57"/>
        <v>-215003.90542299993</v>
      </c>
      <c r="K215" s="66">
        <f t="shared" si="58"/>
        <v>0</v>
      </c>
      <c r="L215" s="66"/>
      <c r="M215" s="415">
        <v>209</v>
      </c>
      <c r="N215" s="415">
        <v>9</v>
      </c>
      <c r="O215" s="66" t="s">
        <v>179</v>
      </c>
      <c r="P215" t="s">
        <v>834</v>
      </c>
      <c r="Q215" s="364">
        <v>-23012.060000000012</v>
      </c>
      <c r="R215" t="s">
        <v>2580</v>
      </c>
      <c r="S215" s="250"/>
      <c r="T215" s="159">
        <f t="shared" si="61"/>
        <v>0</v>
      </c>
      <c r="U215" s="250"/>
      <c r="V215" s="415">
        <v>209</v>
      </c>
      <c r="W215" t="s">
        <v>179</v>
      </c>
      <c r="X215" t="s">
        <v>834</v>
      </c>
      <c r="Y215" s="373">
        <v>-111384.00835199999</v>
      </c>
      <c r="Z215" s="364">
        <v>-47126.986149999982</v>
      </c>
      <c r="AA215" s="369">
        <v>-72561.552079999965</v>
      </c>
      <c r="AB215" s="505">
        <v>-72303.307193000001</v>
      </c>
      <c r="AC215" s="350">
        <f t="shared" si="62"/>
        <v>-303375.85377499997</v>
      </c>
      <c r="AG215" s="159">
        <f t="shared" si="63"/>
        <v>0</v>
      </c>
      <c r="AI215" s="442" t="s">
        <v>179</v>
      </c>
      <c r="AJ215" t="s">
        <v>834</v>
      </c>
      <c r="AK215" s="373">
        <v>0</v>
      </c>
      <c r="AL215" s="364">
        <v>-47126.986149999982</v>
      </c>
      <c r="AM215" s="369">
        <v>-72561.552079999965</v>
      </c>
      <c r="AN215" s="505">
        <v>-72303.307193000001</v>
      </c>
      <c r="AO215" s="448">
        <v>-260606.09658199994</v>
      </c>
      <c r="AP215" s="448"/>
      <c r="AQ215" s="438"/>
      <c r="AR215" s="449">
        <f t="shared" si="56"/>
        <v>-191991.84542299993</v>
      </c>
      <c r="AS215" s="438"/>
      <c r="AT215" s="438"/>
      <c r="AU215" s="364">
        <v>-47126.986149999982</v>
      </c>
      <c r="AV215" s="369">
        <v>-72561.552079999965</v>
      </c>
      <c r="AW215" s="505">
        <v>-72303.307193000001</v>
      </c>
      <c r="AX215" s="452">
        <f t="shared" si="59"/>
        <v>-191991.84542299993</v>
      </c>
      <c r="AY215" s="250">
        <f t="shared" si="50"/>
        <v>0</v>
      </c>
      <c r="AZ215" s="439"/>
      <c r="BA215" s="582">
        <v>-23012.060000000012</v>
      </c>
      <c r="BB215" s="462">
        <f t="shared" si="60"/>
        <v>-215003.90542299993</v>
      </c>
      <c r="BC215" s="463">
        <f t="shared" si="52"/>
        <v>0</v>
      </c>
      <c r="BD215" s="431"/>
      <c r="BE215" s="435">
        <f t="shared" si="55"/>
        <v>0</v>
      </c>
    </row>
    <row r="216" spans="1:57" ht="15">
      <c r="A216" s="415">
        <v>210</v>
      </c>
      <c r="B216" s="415">
        <v>159</v>
      </c>
      <c r="C216" t="s">
        <v>434</v>
      </c>
      <c r="D216" t="s">
        <v>947</v>
      </c>
      <c r="E216" s="373">
        <v>-22568.612170000008</v>
      </c>
      <c r="F216" s="364">
        <v>-22528.43390400003</v>
      </c>
      <c r="G216" s="369">
        <v>-17168.822988</v>
      </c>
      <c r="H216" s="364">
        <v>-9252.7643999999855</v>
      </c>
      <c r="I216" s="350">
        <f t="shared" si="57"/>
        <v>-71518.633462000027</v>
      </c>
      <c r="K216" s="66">
        <f t="shared" si="58"/>
        <v>0</v>
      </c>
      <c r="L216" s="66"/>
      <c r="M216" s="415">
        <v>210</v>
      </c>
      <c r="N216" s="415">
        <v>159</v>
      </c>
      <c r="O216" s="66" t="s">
        <v>434</v>
      </c>
      <c r="P216" t="s">
        <v>947</v>
      </c>
      <c r="Q216" s="364">
        <v>-9252.7643999999855</v>
      </c>
      <c r="R216" t="s">
        <v>2580</v>
      </c>
      <c r="S216" s="250"/>
      <c r="T216" s="159">
        <f t="shared" si="61"/>
        <v>0</v>
      </c>
      <c r="U216" s="250"/>
      <c r="V216" s="415">
        <v>210</v>
      </c>
      <c r="W216" t="s">
        <v>434</v>
      </c>
      <c r="X216" t="s">
        <v>947</v>
      </c>
      <c r="Y216" s="373">
        <v>0</v>
      </c>
      <c r="Z216" s="364">
        <v>-22568.612170000008</v>
      </c>
      <c r="AA216" s="369">
        <v>-22528.43390400003</v>
      </c>
      <c r="AB216" s="505">
        <v>-17168.822988</v>
      </c>
      <c r="AC216" s="350">
        <f t="shared" si="62"/>
        <v>-62265.869062000042</v>
      </c>
      <c r="AG216" s="159">
        <f t="shared" si="63"/>
        <v>0</v>
      </c>
      <c r="AI216" s="442" t="s">
        <v>434</v>
      </c>
      <c r="AJ216" t="s">
        <v>947</v>
      </c>
      <c r="AK216" s="373">
        <v>0</v>
      </c>
      <c r="AL216" s="364">
        <v>-22568.612170000008</v>
      </c>
      <c r="AM216" s="369">
        <v>-22528.43390400003</v>
      </c>
      <c r="AN216" s="505">
        <v>-17168.822988</v>
      </c>
      <c r="AO216" s="448">
        <v>-88273.896074000048</v>
      </c>
      <c r="AP216" s="448"/>
      <c r="AQ216" s="438"/>
      <c r="AR216" s="449">
        <f t="shared" si="56"/>
        <v>-62265.869062000042</v>
      </c>
      <c r="AS216" s="438"/>
      <c r="AT216" s="438"/>
      <c r="AU216" s="364">
        <v>-22568.612170000008</v>
      </c>
      <c r="AV216" s="369">
        <v>-22528.43390400003</v>
      </c>
      <c r="AW216" s="505">
        <v>-17168.822988</v>
      </c>
      <c r="AX216" s="452">
        <f t="shared" si="59"/>
        <v>-62265.869062000042</v>
      </c>
      <c r="AY216" s="250">
        <f t="shared" si="50"/>
        <v>0</v>
      </c>
      <c r="AZ216" s="439"/>
      <c r="BA216" s="582">
        <v>-9252.7643999999855</v>
      </c>
      <c r="BB216" s="462">
        <f t="shared" si="60"/>
        <v>-71518.633462000027</v>
      </c>
      <c r="BC216" s="463">
        <f t="shared" si="52"/>
        <v>0</v>
      </c>
      <c r="BD216" s="431"/>
      <c r="BE216" s="435">
        <f t="shared" si="55"/>
        <v>0</v>
      </c>
    </row>
    <row r="217" spans="1:57" ht="15">
      <c r="A217" s="415">
        <v>211</v>
      </c>
      <c r="B217" s="415">
        <v>205</v>
      </c>
      <c r="C217" t="s">
        <v>523</v>
      </c>
      <c r="D217" t="s">
        <v>991</v>
      </c>
      <c r="E217" s="373">
        <v>886588.80110244034</v>
      </c>
      <c r="F217" s="364">
        <v>-271155.26346893399</v>
      </c>
      <c r="G217" s="369">
        <v>-204786.62200470036</v>
      </c>
      <c r="H217" s="364">
        <v>-946952.02670203568</v>
      </c>
      <c r="I217" s="350">
        <f t="shared" si="57"/>
        <v>-536305.11107322969</v>
      </c>
      <c r="K217" s="66">
        <f t="shared" si="58"/>
        <v>0</v>
      </c>
      <c r="L217" s="66"/>
      <c r="M217" s="415">
        <v>211</v>
      </c>
      <c r="N217" s="415">
        <v>205</v>
      </c>
      <c r="O217" s="66" t="s">
        <v>523</v>
      </c>
      <c r="P217" t="s">
        <v>991</v>
      </c>
      <c r="Q217" s="364">
        <v>-946952.02670203568</v>
      </c>
      <c r="R217" t="s">
        <v>2580</v>
      </c>
      <c r="S217" s="250"/>
      <c r="T217" s="159">
        <f t="shared" si="61"/>
        <v>0</v>
      </c>
      <c r="U217" s="250"/>
      <c r="V217" s="415">
        <v>211</v>
      </c>
      <c r="W217" t="s">
        <v>523</v>
      </c>
      <c r="X217" t="s">
        <v>991</v>
      </c>
      <c r="Y217" s="373">
        <v>529134.57434302382</v>
      </c>
      <c r="Z217" s="364">
        <v>357454.22675941652</v>
      </c>
      <c r="AA217" s="369">
        <v>-271155.26346893399</v>
      </c>
      <c r="AB217" s="505">
        <v>-204786.62200470036</v>
      </c>
      <c r="AC217" s="350">
        <f t="shared" si="62"/>
        <v>410646.91562880599</v>
      </c>
      <c r="AG217" s="159">
        <f t="shared" si="63"/>
        <v>0</v>
      </c>
      <c r="AI217" s="442" t="s">
        <v>523</v>
      </c>
      <c r="AJ217" t="s">
        <v>991</v>
      </c>
      <c r="AK217" s="373">
        <v>0</v>
      </c>
      <c r="AL217" s="585">
        <v>886588.80110244034</v>
      </c>
      <c r="AM217" s="369">
        <v>-271155.26346893399</v>
      </c>
      <c r="AN217" s="505">
        <v>-204786.62200470036</v>
      </c>
      <c r="AO217" s="448">
        <v>615433.53763350635</v>
      </c>
      <c r="AP217" s="448">
        <v>886588.80110244034</v>
      </c>
      <c r="AQ217" s="438"/>
      <c r="AR217" s="449">
        <f t="shared" si="56"/>
        <v>410646.91562880599</v>
      </c>
      <c r="AS217" s="438"/>
      <c r="AT217" s="438"/>
      <c r="AU217" s="585">
        <v>886588.80110244034</v>
      </c>
      <c r="AV217" s="369">
        <v>-271155.26346893399</v>
      </c>
      <c r="AW217" s="505">
        <v>-204786.62200470036</v>
      </c>
      <c r="AX217" s="452">
        <f t="shared" si="59"/>
        <v>410646.91562880599</v>
      </c>
      <c r="AY217" s="250">
        <f t="shared" si="50"/>
        <v>0</v>
      </c>
      <c r="AZ217" s="439"/>
      <c r="BA217" s="582">
        <v>-946952.02670203568</v>
      </c>
      <c r="BB217" s="462">
        <f t="shared" si="60"/>
        <v>-536305.11107322969</v>
      </c>
      <c r="BC217" s="463">
        <f t="shared" si="52"/>
        <v>0</v>
      </c>
      <c r="BD217" s="431"/>
      <c r="BE217" s="435">
        <f t="shared" si="55"/>
        <v>0</v>
      </c>
    </row>
    <row r="218" spans="1:57" ht="15">
      <c r="A218" s="415">
        <v>212</v>
      </c>
      <c r="B218" s="415">
        <v>22</v>
      </c>
      <c r="C218" s="227" t="s">
        <v>1655</v>
      </c>
      <c r="D218" s="229" t="s">
        <v>1994</v>
      </c>
      <c r="E218" s="374">
        <v>-18365.97</v>
      </c>
      <c r="F218" s="368">
        <v>-37969.758999999998</v>
      </c>
      <c r="G218" s="369">
        <v>-117901.54712000002</v>
      </c>
      <c r="H218" s="364">
        <v>-84898.696165000001</v>
      </c>
      <c r="I218" s="350">
        <f t="shared" si="57"/>
        <v>-259135.97228500003</v>
      </c>
      <c r="K218" s="66">
        <f t="shared" si="58"/>
        <v>0</v>
      </c>
      <c r="L218" s="66"/>
      <c r="M218" s="415">
        <v>212</v>
      </c>
      <c r="N218" s="415">
        <v>22</v>
      </c>
      <c r="O218" s="66" t="s">
        <v>1655</v>
      </c>
      <c r="P218" s="229" t="s">
        <v>1994</v>
      </c>
      <c r="Q218" s="364">
        <v>-84898.696165000001</v>
      </c>
      <c r="R218" t="s">
        <v>2580</v>
      </c>
      <c r="S218" s="250"/>
      <c r="T218" s="159">
        <f t="shared" si="61"/>
        <v>0</v>
      </c>
      <c r="U218" s="250"/>
      <c r="V218" s="415">
        <v>212</v>
      </c>
      <c r="W218" s="227" t="s">
        <v>1655</v>
      </c>
      <c r="X218" s="229" t="s">
        <v>1994</v>
      </c>
      <c r="Y218" s="374">
        <v>0</v>
      </c>
      <c r="Z218" s="368">
        <v>-18365.97</v>
      </c>
      <c r="AA218" s="369">
        <v>-37969.758999999998</v>
      </c>
      <c r="AB218" s="505">
        <v>-117901.54712000002</v>
      </c>
      <c r="AC218" s="350">
        <f t="shared" si="62"/>
        <v>-174237.27612000002</v>
      </c>
      <c r="AG218" s="159">
        <f t="shared" si="63"/>
        <v>0</v>
      </c>
      <c r="AI218" s="442" t="s">
        <v>1655</v>
      </c>
      <c r="AJ218" s="229" t="s">
        <v>1994</v>
      </c>
      <c r="AK218" s="374">
        <v>0</v>
      </c>
      <c r="AL218" s="586">
        <v>-18365.97</v>
      </c>
      <c r="AM218" s="369">
        <v>-37969.758999999998</v>
      </c>
      <c r="AN218" s="505">
        <v>-117901.54712000002</v>
      </c>
      <c r="AO218" s="448">
        <v>-56335.728999999999</v>
      </c>
      <c r="AP218" s="448"/>
      <c r="AQ218" s="438"/>
      <c r="AR218" s="449">
        <f t="shared" si="56"/>
        <v>-174237.27612000002</v>
      </c>
      <c r="AS218" s="438"/>
      <c r="AT218" s="438"/>
      <c r="AU218" s="586">
        <v>-18365.97</v>
      </c>
      <c r="AV218" s="369">
        <v>-37969.758999999998</v>
      </c>
      <c r="AW218" s="505">
        <v>-117901.54712000002</v>
      </c>
      <c r="AX218" s="452">
        <f t="shared" si="59"/>
        <v>-174237.27612000002</v>
      </c>
      <c r="AY218" s="250">
        <f t="shared" si="50"/>
        <v>0</v>
      </c>
      <c r="AZ218" s="439"/>
      <c r="BA218" s="582">
        <v>-84898.696165000001</v>
      </c>
      <c r="BB218" s="462">
        <f t="shared" si="60"/>
        <v>-259135.97228500003</v>
      </c>
      <c r="BC218" s="463">
        <f t="shared" si="52"/>
        <v>0</v>
      </c>
      <c r="BD218" s="431"/>
      <c r="BE218" s="435">
        <f t="shared" si="55"/>
        <v>0</v>
      </c>
    </row>
    <row r="219" spans="1:57" ht="15">
      <c r="A219" s="415">
        <v>213</v>
      </c>
      <c r="B219" s="415">
        <v>175</v>
      </c>
      <c r="C219" t="s">
        <v>466</v>
      </c>
      <c r="D219" t="s">
        <v>962</v>
      </c>
      <c r="E219" s="364">
        <v>0</v>
      </c>
      <c r="F219" s="364">
        <v>0</v>
      </c>
      <c r="G219" s="369">
        <v>-14894.717292000074</v>
      </c>
      <c r="H219" s="364">
        <v>-24607.214451000094</v>
      </c>
      <c r="I219" s="350">
        <f t="shared" si="57"/>
        <v>-39501.931743000168</v>
      </c>
      <c r="K219" s="66">
        <f t="shared" si="58"/>
        <v>0</v>
      </c>
      <c r="L219" s="66"/>
      <c r="M219" s="415">
        <v>213</v>
      </c>
      <c r="N219" s="415">
        <v>175</v>
      </c>
      <c r="O219" s="66" t="s">
        <v>466</v>
      </c>
      <c r="P219" t="s">
        <v>962</v>
      </c>
      <c r="Q219" s="364">
        <v>-24607.214451000094</v>
      </c>
      <c r="R219" t="s">
        <v>2580</v>
      </c>
      <c r="S219" s="250"/>
      <c r="T219" s="159">
        <f t="shared" si="61"/>
        <v>0</v>
      </c>
      <c r="U219" s="250"/>
      <c r="V219" s="415">
        <v>213</v>
      </c>
      <c r="W219" t="s">
        <v>466</v>
      </c>
      <c r="X219" t="s">
        <v>962</v>
      </c>
      <c r="Y219" s="364">
        <v>-102655.05035899999</v>
      </c>
      <c r="Z219" s="364">
        <v>30377.94</v>
      </c>
      <c r="AA219" s="369">
        <v>17146.257820999977</v>
      </c>
      <c r="AB219" s="505">
        <v>-14894.717292000074</v>
      </c>
      <c r="AC219" s="350">
        <f t="shared" si="62"/>
        <v>-70025.56983000008</v>
      </c>
      <c r="AG219" s="159">
        <f t="shared" si="63"/>
        <v>0</v>
      </c>
      <c r="AI219" s="442" t="s">
        <v>466</v>
      </c>
      <c r="AJ219" t="s">
        <v>962</v>
      </c>
      <c r="AK219" s="374">
        <v>0</v>
      </c>
      <c r="AL219" s="374">
        <v>0</v>
      </c>
      <c r="AM219" s="369">
        <v>0</v>
      </c>
      <c r="AN219" s="505">
        <v>-14894.717292000074</v>
      </c>
      <c r="AO219" s="448">
        <v>-55130.853033999942</v>
      </c>
      <c r="AP219" s="450">
        <f>+AM219+AK219</f>
        <v>0</v>
      </c>
      <c r="AQ219" s="438"/>
      <c r="AR219" s="449">
        <f t="shared" si="56"/>
        <v>-14894.717292000074</v>
      </c>
      <c r="AS219" s="438"/>
      <c r="AT219" s="438"/>
      <c r="AU219" s="374">
        <v>0</v>
      </c>
      <c r="AV219" s="369">
        <v>0</v>
      </c>
      <c r="AW219" s="505">
        <v>-14894.717292000074</v>
      </c>
      <c r="AX219" s="452">
        <f t="shared" si="59"/>
        <v>-14894.717292000074</v>
      </c>
      <c r="AY219" s="250">
        <f t="shared" si="50"/>
        <v>0</v>
      </c>
      <c r="AZ219" s="439"/>
      <c r="BA219" s="582">
        <v>-24607.214451000094</v>
      </c>
      <c r="BB219" s="462">
        <f t="shared" si="60"/>
        <v>-39501.931743000168</v>
      </c>
      <c r="BC219" s="463">
        <f t="shared" si="52"/>
        <v>0</v>
      </c>
      <c r="BD219" s="431"/>
      <c r="BE219" s="435">
        <f t="shared" si="55"/>
        <v>0</v>
      </c>
    </row>
    <row r="220" spans="1:57" ht="15">
      <c r="A220" s="415">
        <v>214</v>
      </c>
      <c r="B220" s="415">
        <v>65</v>
      </c>
      <c r="C220" t="s">
        <v>275</v>
      </c>
      <c r="D220" t="s">
        <v>877</v>
      </c>
      <c r="E220" s="364">
        <v>-35389.512925000017</v>
      </c>
      <c r="F220" s="364">
        <v>-23238.558769999967</v>
      </c>
      <c r="G220" s="369">
        <v>-84573.742208000011</v>
      </c>
      <c r="H220" s="364">
        <v>-169493.07071</v>
      </c>
      <c r="I220" s="350">
        <f t="shared" si="57"/>
        <v>-312694.88461299997</v>
      </c>
      <c r="K220" s="66">
        <f t="shared" si="58"/>
        <v>0</v>
      </c>
      <c r="L220" s="66"/>
      <c r="M220" s="415">
        <v>214</v>
      </c>
      <c r="N220" s="415">
        <v>65</v>
      </c>
      <c r="O220" s="66" t="s">
        <v>275</v>
      </c>
      <c r="P220" t="s">
        <v>877</v>
      </c>
      <c r="Q220" s="364">
        <v>-169493.07071</v>
      </c>
      <c r="R220" t="s">
        <v>2580</v>
      </c>
      <c r="S220" s="250"/>
      <c r="T220" s="159">
        <f t="shared" si="61"/>
        <v>0</v>
      </c>
      <c r="U220" s="250"/>
      <c r="V220" s="415">
        <v>214</v>
      </c>
      <c r="W220" t="s">
        <v>275</v>
      </c>
      <c r="X220" t="s">
        <v>877</v>
      </c>
      <c r="Y220" s="364">
        <v>-54343.707399999999</v>
      </c>
      <c r="Z220" s="364">
        <v>-35389.512925000017</v>
      </c>
      <c r="AA220" s="369">
        <v>-23238.558769999967</v>
      </c>
      <c r="AB220" s="505">
        <v>-84573.742208000011</v>
      </c>
      <c r="AC220" s="350">
        <f t="shared" si="62"/>
        <v>-197545.52130299999</v>
      </c>
      <c r="AG220" s="159">
        <f t="shared" si="63"/>
        <v>0</v>
      </c>
      <c r="AI220" s="442" t="s">
        <v>275</v>
      </c>
      <c r="AJ220" t="s">
        <v>877</v>
      </c>
      <c r="AK220" s="364">
        <v>0</v>
      </c>
      <c r="AL220" s="364">
        <v>-35389.512925000017</v>
      </c>
      <c r="AM220" s="369">
        <v>-23238.558769999967</v>
      </c>
      <c r="AN220" s="505">
        <v>-84573.742208000011</v>
      </c>
      <c r="AO220" s="448">
        <v>-189082.28909499999</v>
      </c>
      <c r="AP220" s="448"/>
      <c r="AQ220" s="438"/>
      <c r="AR220" s="449">
        <f t="shared" si="56"/>
        <v>-143201.813903</v>
      </c>
      <c r="AS220" s="438"/>
      <c r="AT220" s="438"/>
      <c r="AU220" s="364">
        <v>-35389.512925000017</v>
      </c>
      <c r="AV220" s="369">
        <v>-23238.558769999967</v>
      </c>
      <c r="AW220" s="505">
        <v>-84573.742208000011</v>
      </c>
      <c r="AX220" s="452">
        <f t="shared" si="59"/>
        <v>-143201.813903</v>
      </c>
      <c r="AY220" s="250">
        <f t="shared" ref="AY220:AY283" si="64">+AX220-AR220</f>
        <v>0</v>
      </c>
      <c r="AZ220" s="439"/>
      <c r="BA220" s="582">
        <v>-169493.07071</v>
      </c>
      <c r="BB220" s="462">
        <f t="shared" si="60"/>
        <v>-312694.88461299997</v>
      </c>
      <c r="BC220" s="463">
        <f t="shared" si="52"/>
        <v>0</v>
      </c>
      <c r="BD220" s="431"/>
      <c r="BE220" s="435">
        <f t="shared" si="55"/>
        <v>0</v>
      </c>
    </row>
    <row r="221" spans="1:57" ht="15">
      <c r="A221" s="415">
        <v>215</v>
      </c>
      <c r="B221" s="415">
        <v>23</v>
      </c>
      <c r="C221" t="s">
        <v>203</v>
      </c>
      <c r="D221" t="s">
        <v>844</v>
      </c>
      <c r="E221" s="364">
        <v>327947.40764799982</v>
      </c>
      <c r="F221" s="364">
        <v>328386.99120799982</v>
      </c>
      <c r="G221" s="369">
        <v>120224.9389419998</v>
      </c>
      <c r="H221" s="364">
        <v>140732.28294597031</v>
      </c>
      <c r="I221" s="350">
        <f t="shared" si="57"/>
        <v>917291.62074396969</v>
      </c>
      <c r="K221" s="66">
        <f t="shared" si="58"/>
        <v>0</v>
      </c>
      <c r="L221" s="66"/>
      <c r="M221" s="415">
        <v>215</v>
      </c>
      <c r="N221" s="415">
        <v>23</v>
      </c>
      <c r="O221" s="66" t="s">
        <v>203</v>
      </c>
      <c r="P221" t="s">
        <v>844</v>
      </c>
      <c r="Q221" s="364">
        <v>140732.28294597031</v>
      </c>
      <c r="R221" t="s">
        <v>2580</v>
      </c>
      <c r="S221" s="250"/>
      <c r="T221" s="159">
        <f t="shared" si="61"/>
        <v>0</v>
      </c>
      <c r="U221" s="250"/>
      <c r="V221" s="415">
        <v>215</v>
      </c>
      <c r="W221" t="s">
        <v>203</v>
      </c>
      <c r="X221" t="s">
        <v>844</v>
      </c>
      <c r="Y221" s="364">
        <v>0</v>
      </c>
      <c r="Z221" s="364">
        <v>327947.40764799982</v>
      </c>
      <c r="AA221" s="369">
        <v>328386.99120799982</v>
      </c>
      <c r="AB221" s="505">
        <v>120224.9389419998</v>
      </c>
      <c r="AC221" s="350">
        <f t="shared" si="62"/>
        <v>776559.33779799938</v>
      </c>
      <c r="AG221" s="159">
        <f t="shared" si="63"/>
        <v>0</v>
      </c>
      <c r="AI221" s="442" t="s">
        <v>203</v>
      </c>
      <c r="AJ221" t="s">
        <v>844</v>
      </c>
      <c r="AK221" s="364">
        <v>0</v>
      </c>
      <c r="AL221" s="364">
        <v>327947.40764799982</v>
      </c>
      <c r="AM221" s="369">
        <v>328386.99120799982</v>
      </c>
      <c r="AN221" s="505">
        <v>120224.9389419998</v>
      </c>
      <c r="AO221" s="448">
        <v>656334.39885599958</v>
      </c>
      <c r="AP221" s="450">
        <f>+AM221+AL221+AK221</f>
        <v>656334.39885599958</v>
      </c>
      <c r="AQ221" s="438"/>
      <c r="AR221" s="451">
        <f>+AN221+AP221</f>
        <v>776559.33779799938</v>
      </c>
      <c r="AS221" s="438"/>
      <c r="AT221" s="438"/>
      <c r="AU221" s="364">
        <v>327947.40764799982</v>
      </c>
      <c r="AV221" s="369">
        <v>328386.99120799982</v>
      </c>
      <c r="AW221" s="505">
        <v>120224.9389419998</v>
      </c>
      <c r="AX221" s="452">
        <f t="shared" si="59"/>
        <v>776559.33779799938</v>
      </c>
      <c r="AY221" s="250">
        <f t="shared" si="64"/>
        <v>0</v>
      </c>
      <c r="AZ221" s="439"/>
      <c r="BA221" s="582">
        <v>140732.28294597031</v>
      </c>
      <c r="BB221" s="462">
        <f t="shared" si="60"/>
        <v>917291.62074396969</v>
      </c>
      <c r="BC221" s="463">
        <f t="shared" si="52"/>
        <v>0</v>
      </c>
      <c r="BD221" s="431"/>
      <c r="BE221" s="435">
        <f t="shared" si="55"/>
        <v>0</v>
      </c>
    </row>
    <row r="222" spans="1:57" ht="15">
      <c r="A222" s="415">
        <v>216</v>
      </c>
      <c r="B222" s="415">
        <v>96</v>
      </c>
      <c r="C222" t="s">
        <v>336</v>
      </c>
      <c r="D222" t="s">
        <v>905</v>
      </c>
      <c r="E222" s="364">
        <v>-164706.81697999989</v>
      </c>
      <c r="F222" s="364">
        <v>-462088.90240599989</v>
      </c>
      <c r="G222" s="369">
        <v>-529944.05962999992</v>
      </c>
      <c r="H222" s="364">
        <v>-567536.28053392004</v>
      </c>
      <c r="I222" s="350">
        <f t="shared" si="57"/>
        <v>-1724276.0595499198</v>
      </c>
      <c r="K222" s="66">
        <f t="shared" si="58"/>
        <v>0</v>
      </c>
      <c r="L222" s="66"/>
      <c r="M222" s="415">
        <v>216</v>
      </c>
      <c r="N222" s="415">
        <v>96</v>
      </c>
      <c r="O222" s="66" t="s">
        <v>336</v>
      </c>
      <c r="P222" t="s">
        <v>905</v>
      </c>
      <c r="Q222" s="364">
        <v>-567536.28053392004</v>
      </c>
      <c r="R222" t="s">
        <v>2580</v>
      </c>
      <c r="S222" s="250"/>
      <c r="T222" s="159">
        <f t="shared" si="61"/>
        <v>0</v>
      </c>
      <c r="U222" s="250"/>
      <c r="V222" s="415">
        <v>216</v>
      </c>
      <c r="W222" t="s">
        <v>336</v>
      </c>
      <c r="X222" t="s">
        <v>905</v>
      </c>
      <c r="Y222" s="364">
        <v>-176517.56296300003</v>
      </c>
      <c r="Z222" s="364">
        <v>-164706.81697999989</v>
      </c>
      <c r="AA222" s="369">
        <v>-462088.90240599989</v>
      </c>
      <c r="AB222" s="505">
        <v>-529944.05962999992</v>
      </c>
      <c r="AC222" s="350">
        <f t="shared" si="62"/>
        <v>-1333257.3419789998</v>
      </c>
      <c r="AG222" s="159">
        <f t="shared" si="63"/>
        <v>0</v>
      </c>
      <c r="AI222" s="442" t="s">
        <v>336</v>
      </c>
      <c r="AJ222" t="s">
        <v>905</v>
      </c>
      <c r="AK222" s="364">
        <v>0</v>
      </c>
      <c r="AL222" s="364">
        <v>-164706.81697999989</v>
      </c>
      <c r="AM222" s="369">
        <v>-462088.90240599989</v>
      </c>
      <c r="AN222" s="505">
        <v>-529944.05962999992</v>
      </c>
      <c r="AO222" s="448">
        <v>-982657.59234899981</v>
      </c>
      <c r="AP222" s="448"/>
      <c r="AQ222" s="438"/>
      <c r="AR222" s="449">
        <f t="shared" ref="AR222:AR238" si="65">SUM(AL222:AN222)</f>
        <v>-1156739.7790159998</v>
      </c>
      <c r="AS222" s="438"/>
      <c r="AT222" s="438"/>
      <c r="AU222" s="364">
        <v>-164706.81697999989</v>
      </c>
      <c r="AV222" s="369">
        <v>-462088.90240599989</v>
      </c>
      <c r="AW222" s="505">
        <v>-529944.05962999992</v>
      </c>
      <c r="AX222" s="452">
        <f t="shared" si="59"/>
        <v>-1156739.7790159998</v>
      </c>
      <c r="AY222" s="250">
        <f t="shared" si="64"/>
        <v>0</v>
      </c>
      <c r="AZ222" s="439"/>
      <c r="BA222" s="582">
        <v>-567536.28053392004</v>
      </c>
      <c r="BB222" s="462">
        <f t="shared" si="60"/>
        <v>-1724276.0595499198</v>
      </c>
      <c r="BC222" s="463">
        <f t="shared" si="52"/>
        <v>0</v>
      </c>
      <c r="BD222" s="431"/>
      <c r="BE222" s="435">
        <f t="shared" si="55"/>
        <v>0</v>
      </c>
    </row>
    <row r="223" spans="1:57" ht="15">
      <c r="A223" s="415">
        <v>217</v>
      </c>
      <c r="B223" s="415">
        <v>291</v>
      </c>
      <c r="C223" t="s">
        <v>669</v>
      </c>
      <c r="D223" t="s">
        <v>1051</v>
      </c>
      <c r="E223" s="364">
        <v>-266590.21613200003</v>
      </c>
      <c r="F223" s="364">
        <v>-308599.99358900002</v>
      </c>
      <c r="G223" s="369">
        <v>-376381.91870399995</v>
      </c>
      <c r="H223" s="364">
        <v>-321791.27213599999</v>
      </c>
      <c r="I223" s="350">
        <f t="shared" si="57"/>
        <v>-1273363.400561</v>
      </c>
      <c r="K223" s="66">
        <f t="shared" si="58"/>
        <v>0</v>
      </c>
      <c r="L223" s="66"/>
      <c r="M223" s="415">
        <v>217</v>
      </c>
      <c r="N223" s="415">
        <v>291</v>
      </c>
      <c r="O223" s="66" t="s">
        <v>669</v>
      </c>
      <c r="P223" t="s">
        <v>1051</v>
      </c>
      <c r="Q223" s="364">
        <v>-321791.27213599999</v>
      </c>
      <c r="R223" t="s">
        <v>2580</v>
      </c>
      <c r="S223" s="250"/>
      <c r="T223" s="159">
        <f t="shared" si="61"/>
        <v>0</v>
      </c>
      <c r="U223" s="250"/>
      <c r="V223" s="415">
        <v>217</v>
      </c>
      <c r="W223" t="s">
        <v>669</v>
      </c>
      <c r="X223" t="s">
        <v>1051</v>
      </c>
      <c r="Y223" s="364">
        <v>-296080.13575000002</v>
      </c>
      <c r="Z223" s="364">
        <v>-266590.21613200003</v>
      </c>
      <c r="AA223" s="369">
        <v>-308599.99358900002</v>
      </c>
      <c r="AB223" s="505">
        <v>-376381.91870399995</v>
      </c>
      <c r="AC223" s="350">
        <f t="shared" si="62"/>
        <v>-1247652.2641750001</v>
      </c>
      <c r="AG223" s="159">
        <f t="shared" si="63"/>
        <v>0</v>
      </c>
      <c r="AI223" s="442" t="s">
        <v>669</v>
      </c>
      <c r="AJ223" t="s">
        <v>1051</v>
      </c>
      <c r="AK223" s="364">
        <v>0</v>
      </c>
      <c r="AL223" s="364">
        <v>-266590.21613200003</v>
      </c>
      <c r="AM223" s="369">
        <v>-308599.99358900002</v>
      </c>
      <c r="AN223" s="505">
        <v>-376381.91870399995</v>
      </c>
      <c r="AO223" s="448">
        <v>-998546.55547100003</v>
      </c>
      <c r="AP223" s="448"/>
      <c r="AQ223" s="438"/>
      <c r="AR223" s="449">
        <f t="shared" si="65"/>
        <v>-951572.128425</v>
      </c>
      <c r="AS223" s="438"/>
      <c r="AT223" s="438"/>
      <c r="AU223" s="364">
        <v>-266590.21613200003</v>
      </c>
      <c r="AV223" s="369">
        <v>-308599.99358900002</v>
      </c>
      <c r="AW223" s="505">
        <v>-376381.91870399995</v>
      </c>
      <c r="AX223" s="452">
        <f t="shared" si="59"/>
        <v>-951572.128425</v>
      </c>
      <c r="AY223" s="250">
        <f t="shared" si="64"/>
        <v>0</v>
      </c>
      <c r="AZ223" s="439"/>
      <c r="BA223" s="582">
        <v>-321791.27213599999</v>
      </c>
      <c r="BB223" s="462">
        <f t="shared" si="60"/>
        <v>-1273363.400561</v>
      </c>
      <c r="BC223" s="463">
        <f t="shared" si="52"/>
        <v>0</v>
      </c>
      <c r="BD223" s="431"/>
      <c r="BE223" s="435">
        <f t="shared" si="55"/>
        <v>0</v>
      </c>
    </row>
    <row r="224" spans="1:57" ht="15">
      <c r="A224" s="415">
        <v>218</v>
      </c>
      <c r="B224" s="415">
        <v>12</v>
      </c>
      <c r="C224" t="s">
        <v>185</v>
      </c>
      <c r="D224" t="s">
        <v>836</v>
      </c>
      <c r="E224" s="364">
        <v>-232131.31226499984</v>
      </c>
      <c r="F224" s="364">
        <v>-203411.85644599999</v>
      </c>
      <c r="G224" s="369">
        <v>-300580.81844699988</v>
      </c>
      <c r="H224" s="364">
        <v>-366457.38078800775</v>
      </c>
      <c r="I224" s="350">
        <f t="shared" si="57"/>
        <v>-1102581.3679460075</v>
      </c>
      <c r="K224" s="66">
        <f t="shared" si="58"/>
        <v>0</v>
      </c>
      <c r="L224" s="66"/>
      <c r="M224" s="415">
        <v>218</v>
      </c>
      <c r="N224" s="415">
        <v>12</v>
      </c>
      <c r="O224" s="66" t="s">
        <v>185</v>
      </c>
      <c r="P224" t="s">
        <v>836</v>
      </c>
      <c r="Q224" s="364">
        <v>-366457.38078800775</v>
      </c>
      <c r="R224" t="s">
        <v>2580</v>
      </c>
      <c r="S224" s="250"/>
      <c r="T224" s="159">
        <f t="shared" si="61"/>
        <v>0</v>
      </c>
      <c r="U224" s="250"/>
      <c r="V224" s="415">
        <v>218</v>
      </c>
      <c r="W224" t="s">
        <v>185</v>
      </c>
      <c r="X224" t="s">
        <v>836</v>
      </c>
      <c r="Y224" s="364">
        <v>-59322.863083999924</v>
      </c>
      <c r="Z224" s="364">
        <v>-232131.31226499984</v>
      </c>
      <c r="AA224" s="369">
        <v>-203411.85644599999</v>
      </c>
      <c r="AB224" s="505">
        <v>-300580.81844699988</v>
      </c>
      <c r="AC224" s="350">
        <f t="shared" si="62"/>
        <v>-795446.85024199961</v>
      </c>
      <c r="AG224" s="159">
        <f t="shared" si="63"/>
        <v>0</v>
      </c>
      <c r="AI224" s="442" t="s">
        <v>185</v>
      </c>
      <c r="AJ224" t="s">
        <v>836</v>
      </c>
      <c r="AK224" s="364">
        <v>0</v>
      </c>
      <c r="AL224" s="364">
        <v>-232131.31226499984</v>
      </c>
      <c r="AM224" s="369">
        <v>-203411.85644599999</v>
      </c>
      <c r="AN224" s="505">
        <v>-300580.81844699988</v>
      </c>
      <c r="AO224" s="448">
        <v>-751885.12179499981</v>
      </c>
      <c r="AP224" s="448"/>
      <c r="AQ224" s="438"/>
      <c r="AR224" s="449">
        <f t="shared" si="65"/>
        <v>-736123.98715799977</v>
      </c>
      <c r="AS224" s="438"/>
      <c r="AT224" s="438"/>
      <c r="AU224" s="364">
        <v>-232131.31226499984</v>
      </c>
      <c r="AV224" s="369">
        <v>-203411.85644599999</v>
      </c>
      <c r="AW224" s="505">
        <v>-300580.81844699988</v>
      </c>
      <c r="AX224" s="452">
        <f t="shared" si="59"/>
        <v>-736123.98715799977</v>
      </c>
      <c r="AY224" s="250">
        <f t="shared" si="64"/>
        <v>0</v>
      </c>
      <c r="AZ224" s="439"/>
      <c r="BA224" s="582">
        <v>-366457.38078800775</v>
      </c>
      <c r="BB224" s="462">
        <f t="shared" si="60"/>
        <v>-1102581.3679460075</v>
      </c>
      <c r="BC224" s="463">
        <f t="shared" si="52"/>
        <v>0</v>
      </c>
      <c r="BD224" s="431"/>
      <c r="BE224" s="435">
        <f t="shared" si="55"/>
        <v>0</v>
      </c>
    </row>
    <row r="225" spans="1:57" ht="15">
      <c r="A225" s="415">
        <v>219</v>
      </c>
      <c r="B225" s="415">
        <v>304</v>
      </c>
      <c r="C225" t="s">
        <v>691</v>
      </c>
      <c r="D225" t="s">
        <v>1061</v>
      </c>
      <c r="E225" s="364">
        <v>0</v>
      </c>
      <c r="F225" s="364">
        <v>-220003.81077650058</v>
      </c>
      <c r="G225" s="369">
        <v>-325151.80290400004</v>
      </c>
      <c r="H225" s="364">
        <v>-261395.5758837054</v>
      </c>
      <c r="I225" s="350">
        <f t="shared" si="57"/>
        <v>-806551.18956420606</v>
      </c>
      <c r="K225" s="66">
        <f t="shared" si="58"/>
        <v>0</v>
      </c>
      <c r="L225" s="66"/>
      <c r="M225" s="415">
        <v>219</v>
      </c>
      <c r="N225" s="415">
        <v>304</v>
      </c>
      <c r="O225" s="66" t="s">
        <v>691</v>
      </c>
      <c r="P225" t="s">
        <v>1061</v>
      </c>
      <c r="Q225" s="364">
        <v>-261395.5758837054</v>
      </c>
      <c r="R225" t="s">
        <v>2580</v>
      </c>
      <c r="S225" s="250"/>
      <c r="T225" s="159">
        <f t="shared" si="61"/>
        <v>0</v>
      </c>
      <c r="U225" s="250"/>
      <c r="V225" s="415">
        <v>219</v>
      </c>
      <c r="W225" t="s">
        <v>691</v>
      </c>
      <c r="X225" t="s">
        <v>1061</v>
      </c>
      <c r="Y225" s="364">
        <v>-369866.79981484055</v>
      </c>
      <c r="Z225" s="364">
        <v>0</v>
      </c>
      <c r="AA225" s="369">
        <v>-220003.81077650058</v>
      </c>
      <c r="AB225" s="505">
        <v>-325151.80290400004</v>
      </c>
      <c r="AC225" s="350">
        <f t="shared" si="62"/>
        <v>-915022.4134953412</v>
      </c>
      <c r="AG225" s="159">
        <f t="shared" si="63"/>
        <v>0</v>
      </c>
      <c r="AI225" s="442" t="s">
        <v>691</v>
      </c>
      <c r="AJ225" t="s">
        <v>1061</v>
      </c>
      <c r="AK225" s="364">
        <v>0</v>
      </c>
      <c r="AL225" s="364">
        <v>0</v>
      </c>
      <c r="AM225" s="369">
        <v>-220003.81077650058</v>
      </c>
      <c r="AN225" s="505">
        <v>-325151.80290400004</v>
      </c>
      <c r="AO225" s="448">
        <v>-812565.20059134113</v>
      </c>
      <c r="AP225" s="448"/>
      <c r="AQ225" s="438"/>
      <c r="AR225" s="449">
        <f t="shared" si="65"/>
        <v>-545155.61368050065</v>
      </c>
      <c r="AS225" s="438"/>
      <c r="AT225" s="438"/>
      <c r="AU225" s="364">
        <v>0</v>
      </c>
      <c r="AV225" s="369">
        <v>-220003.81077650058</v>
      </c>
      <c r="AW225" s="505">
        <v>-325151.80290400004</v>
      </c>
      <c r="AX225" s="452">
        <f t="shared" si="59"/>
        <v>-545155.61368050065</v>
      </c>
      <c r="AY225" s="250">
        <f t="shared" si="64"/>
        <v>0</v>
      </c>
      <c r="AZ225" s="439"/>
      <c r="BA225" s="582">
        <v>-261395.5758837054</v>
      </c>
      <c r="BB225" s="462">
        <f t="shared" si="60"/>
        <v>-806551.18956420606</v>
      </c>
      <c r="BC225" s="463">
        <f t="shared" si="52"/>
        <v>0</v>
      </c>
      <c r="BD225" s="431"/>
      <c r="BE225" s="435">
        <f t="shared" si="55"/>
        <v>0</v>
      </c>
    </row>
    <row r="226" spans="1:57" ht="15">
      <c r="A226" s="415">
        <v>220</v>
      </c>
      <c r="B226" s="415">
        <v>197</v>
      </c>
      <c r="C226" t="s">
        <v>507</v>
      </c>
      <c r="D226" t="s">
        <v>983</v>
      </c>
      <c r="E226" s="364">
        <v>0</v>
      </c>
      <c r="F226" s="364">
        <v>-95278.441975299851</v>
      </c>
      <c r="G226" s="369">
        <v>0</v>
      </c>
      <c r="H226" s="364">
        <v>-895917.16220990755</v>
      </c>
      <c r="I226" s="350">
        <f t="shared" si="57"/>
        <v>-991195.6041852074</v>
      </c>
      <c r="K226" s="66">
        <f t="shared" si="58"/>
        <v>0</v>
      </c>
      <c r="L226" s="66"/>
      <c r="M226" s="415">
        <v>220</v>
      </c>
      <c r="N226" s="415">
        <v>197</v>
      </c>
      <c r="O226" s="66" t="s">
        <v>507</v>
      </c>
      <c r="P226" t="s">
        <v>983</v>
      </c>
      <c r="Q226" s="364">
        <v>-895917.16220990755</v>
      </c>
      <c r="R226" t="s">
        <v>2580</v>
      </c>
      <c r="S226" s="250"/>
      <c r="T226" s="159">
        <f t="shared" si="61"/>
        <v>0</v>
      </c>
      <c r="U226" s="250"/>
      <c r="V226" s="415">
        <v>220</v>
      </c>
      <c r="W226" t="s">
        <v>507</v>
      </c>
      <c r="X226" t="s">
        <v>983</v>
      </c>
      <c r="Y226" s="364">
        <v>-2540877.9880818184</v>
      </c>
      <c r="Z226" s="364">
        <v>0</v>
      </c>
      <c r="AA226" s="369">
        <v>-95278.441975299851</v>
      </c>
      <c r="AB226" s="505">
        <v>252126.17092000321</v>
      </c>
      <c r="AC226" s="350">
        <f t="shared" si="62"/>
        <v>-2384030.259137115</v>
      </c>
      <c r="AG226" s="159">
        <f t="shared" si="63"/>
        <v>0</v>
      </c>
      <c r="AI226" s="442" t="s">
        <v>507</v>
      </c>
      <c r="AJ226" t="s">
        <v>983</v>
      </c>
      <c r="AK226" s="364">
        <v>0</v>
      </c>
      <c r="AL226" s="364">
        <v>0</v>
      </c>
      <c r="AM226" s="369">
        <v>-95278.441975299851</v>
      </c>
      <c r="AN226" s="505">
        <v>0</v>
      </c>
      <c r="AO226" s="448">
        <v>-3118167.2600571183</v>
      </c>
      <c r="AP226" s="448"/>
      <c r="AQ226" s="438"/>
      <c r="AR226" s="449">
        <f t="shared" si="65"/>
        <v>-95278.441975299851</v>
      </c>
      <c r="AS226" s="438"/>
      <c r="AT226" s="438"/>
      <c r="AU226" s="364">
        <v>0</v>
      </c>
      <c r="AV226" s="369">
        <v>-95278.441975299851</v>
      </c>
      <c r="AW226" s="505">
        <v>0</v>
      </c>
      <c r="AX226" s="452">
        <f t="shared" si="59"/>
        <v>-95278.441975299851</v>
      </c>
      <c r="AY226" s="250">
        <f t="shared" si="64"/>
        <v>0</v>
      </c>
      <c r="AZ226" s="439"/>
      <c r="BA226" s="582">
        <v>-895917.16220990755</v>
      </c>
      <c r="BB226" s="462">
        <f t="shared" si="60"/>
        <v>-991195.6041852074</v>
      </c>
      <c r="BC226" s="463">
        <f t="shared" si="52"/>
        <v>0</v>
      </c>
      <c r="BD226" s="431"/>
      <c r="BE226" s="435">
        <f t="shared" si="55"/>
        <v>0</v>
      </c>
    </row>
    <row r="227" spans="1:57" ht="15">
      <c r="A227" s="415">
        <v>221</v>
      </c>
      <c r="B227" s="415">
        <v>92</v>
      </c>
      <c r="C227" t="s">
        <v>328</v>
      </c>
      <c r="D227" t="s">
        <v>329</v>
      </c>
      <c r="E227" s="364">
        <v>-97293.078928000003</v>
      </c>
      <c r="F227" s="364">
        <v>-78842.365851999988</v>
      </c>
      <c r="G227" s="369">
        <v>-65251.216667999986</v>
      </c>
      <c r="H227" s="364">
        <v>-139313.80572800001</v>
      </c>
      <c r="I227" s="350">
        <f t="shared" si="57"/>
        <v>-380700.46717600001</v>
      </c>
      <c r="K227" s="66">
        <f t="shared" si="58"/>
        <v>0</v>
      </c>
      <c r="L227" s="66"/>
      <c r="M227" s="415">
        <v>221</v>
      </c>
      <c r="N227" s="415">
        <v>92</v>
      </c>
      <c r="O227" s="66" t="s">
        <v>328</v>
      </c>
      <c r="P227" t="s">
        <v>329</v>
      </c>
      <c r="Q227" s="364">
        <v>-139313.80572800001</v>
      </c>
      <c r="R227" t="s">
        <v>2580</v>
      </c>
      <c r="S227" s="250"/>
      <c r="T227" s="159">
        <f t="shared" si="61"/>
        <v>0</v>
      </c>
      <c r="U227" s="250"/>
      <c r="V227" s="415">
        <v>221</v>
      </c>
      <c r="W227" t="s">
        <v>328</v>
      </c>
      <c r="X227" t="s">
        <v>329</v>
      </c>
      <c r="Y227" s="364">
        <v>-80043.325723999995</v>
      </c>
      <c r="Z227" s="364">
        <v>-97293.078928000003</v>
      </c>
      <c r="AA227" s="369">
        <v>-78842.365851999988</v>
      </c>
      <c r="AB227" s="505">
        <v>-65251.216667999986</v>
      </c>
      <c r="AC227" s="350">
        <f t="shared" si="62"/>
        <v>-321429.98717199999</v>
      </c>
      <c r="AG227" s="159">
        <f t="shared" si="63"/>
        <v>0</v>
      </c>
      <c r="AI227" s="442" t="s">
        <v>328</v>
      </c>
      <c r="AJ227" t="s">
        <v>329</v>
      </c>
      <c r="AK227" s="364">
        <v>0</v>
      </c>
      <c r="AL227" s="364">
        <v>-97293.078928000003</v>
      </c>
      <c r="AM227" s="369">
        <v>-78842.365851999988</v>
      </c>
      <c r="AN227" s="505">
        <v>-65251.216667999986</v>
      </c>
      <c r="AO227" s="448">
        <v>-350034.83050399995</v>
      </c>
      <c r="AP227" s="448"/>
      <c r="AQ227" s="438"/>
      <c r="AR227" s="449">
        <f t="shared" si="65"/>
        <v>-241386.66144799997</v>
      </c>
      <c r="AS227" s="438"/>
      <c r="AT227" s="438"/>
      <c r="AU227" s="364">
        <v>-97293.078928000003</v>
      </c>
      <c r="AV227" s="369">
        <v>-78842.365851999988</v>
      </c>
      <c r="AW227" s="505">
        <v>-65251.216667999986</v>
      </c>
      <c r="AX227" s="452">
        <f t="shared" si="59"/>
        <v>-241386.66144799997</v>
      </c>
      <c r="AY227" s="250">
        <f t="shared" si="64"/>
        <v>0</v>
      </c>
      <c r="AZ227" s="439"/>
      <c r="BA227" s="582">
        <v>-139313.80572800001</v>
      </c>
      <c r="BB227" s="462">
        <f t="shared" si="60"/>
        <v>-380700.46717600001</v>
      </c>
      <c r="BC227" s="463">
        <f t="shared" si="52"/>
        <v>0</v>
      </c>
      <c r="BD227" s="431"/>
      <c r="BE227" s="435">
        <f t="shared" si="55"/>
        <v>0</v>
      </c>
    </row>
    <row r="228" spans="1:57" ht="15">
      <c r="A228" s="415">
        <v>222</v>
      </c>
      <c r="B228" s="415">
        <v>94</v>
      </c>
      <c r="C228" t="s">
        <v>332</v>
      </c>
      <c r="D228" t="s">
        <v>903</v>
      </c>
      <c r="E228" s="364">
        <v>-75626.15386599995</v>
      </c>
      <c r="F228" s="364">
        <v>-135499.49552364225</v>
      </c>
      <c r="G228" s="369">
        <v>-129451.40286199999</v>
      </c>
      <c r="H228" s="364">
        <v>-150011.16566399991</v>
      </c>
      <c r="I228" s="350">
        <f t="shared" si="57"/>
        <v>-490588.21791564213</v>
      </c>
      <c r="K228" s="66">
        <f t="shared" si="58"/>
        <v>0</v>
      </c>
      <c r="L228" s="66"/>
      <c r="M228" s="415">
        <v>222</v>
      </c>
      <c r="N228" s="415">
        <v>94</v>
      </c>
      <c r="O228" s="66" t="s">
        <v>332</v>
      </c>
      <c r="P228" t="s">
        <v>903</v>
      </c>
      <c r="Q228" s="364">
        <v>-150011.16566399991</v>
      </c>
      <c r="R228" t="s">
        <v>2580</v>
      </c>
      <c r="S228" s="250"/>
      <c r="T228" s="159">
        <f t="shared" si="61"/>
        <v>0</v>
      </c>
      <c r="U228" s="250"/>
      <c r="V228" s="415">
        <v>222</v>
      </c>
      <c r="W228" t="s">
        <v>332</v>
      </c>
      <c r="X228" t="s">
        <v>903</v>
      </c>
      <c r="Y228" s="364">
        <v>-95750.726506000021</v>
      </c>
      <c r="Z228" s="364">
        <v>-75626.15386599995</v>
      </c>
      <c r="AA228" s="369">
        <v>-135499.49552364225</v>
      </c>
      <c r="AB228" s="505">
        <v>-129451.40286199999</v>
      </c>
      <c r="AC228" s="350">
        <f t="shared" si="62"/>
        <v>-436327.7787576422</v>
      </c>
      <c r="AG228" s="159">
        <f t="shared" si="63"/>
        <v>0</v>
      </c>
      <c r="AI228" s="442" t="s">
        <v>332</v>
      </c>
      <c r="AJ228" t="s">
        <v>903</v>
      </c>
      <c r="AK228" s="364">
        <v>0</v>
      </c>
      <c r="AL228" s="364">
        <v>-75626.15386599995</v>
      </c>
      <c r="AM228" s="369">
        <v>-135499.49552364225</v>
      </c>
      <c r="AN228" s="505">
        <v>-129451.40286199999</v>
      </c>
      <c r="AO228" s="448">
        <v>-343729.64589564223</v>
      </c>
      <c r="AP228" s="448"/>
      <c r="AQ228" s="438"/>
      <c r="AR228" s="449">
        <f t="shared" si="65"/>
        <v>-340577.05225164222</v>
      </c>
      <c r="AS228" s="438"/>
      <c r="AT228" s="438"/>
      <c r="AU228" s="364">
        <v>-75626.15386599995</v>
      </c>
      <c r="AV228" s="369">
        <v>-135499.49552364225</v>
      </c>
      <c r="AW228" s="505">
        <v>-129451.40286199999</v>
      </c>
      <c r="AX228" s="452">
        <f t="shared" si="59"/>
        <v>-340577.05225164222</v>
      </c>
      <c r="AY228" s="250">
        <f t="shared" si="64"/>
        <v>0</v>
      </c>
      <c r="AZ228" s="439"/>
      <c r="BA228" s="582">
        <v>-150011.16566399991</v>
      </c>
      <c r="BB228" s="462">
        <f t="shared" si="60"/>
        <v>-490588.21791564213</v>
      </c>
      <c r="BC228" s="463">
        <f t="shared" si="52"/>
        <v>0</v>
      </c>
      <c r="BD228" s="431"/>
      <c r="BE228" s="435">
        <f t="shared" si="55"/>
        <v>0</v>
      </c>
    </row>
    <row r="229" spans="1:57" ht="15">
      <c r="A229" s="415">
        <v>223</v>
      </c>
      <c r="B229" s="415">
        <v>28</v>
      </c>
      <c r="C229" s="346" t="s">
        <v>1481</v>
      </c>
      <c r="D229" s="346" t="s">
        <v>1610</v>
      </c>
      <c r="E229" s="364">
        <v>-103419.53899999999</v>
      </c>
      <c r="F229" s="364"/>
      <c r="G229" s="369">
        <v>-46578.489999999976</v>
      </c>
      <c r="H229" s="364">
        <v>-71829.656969999982</v>
      </c>
      <c r="I229" s="350">
        <f t="shared" si="57"/>
        <v>-221827.68596999996</v>
      </c>
      <c r="K229" s="66">
        <f t="shared" si="58"/>
        <v>0</v>
      </c>
      <c r="L229" s="66"/>
      <c r="M229" s="415">
        <v>223</v>
      </c>
      <c r="N229" s="415">
        <v>28</v>
      </c>
      <c r="O229" s="66" t="s">
        <v>1481</v>
      </c>
      <c r="P229" s="346" t="s">
        <v>1610</v>
      </c>
      <c r="Q229" s="364">
        <v>-71829.656969999982</v>
      </c>
      <c r="R229" t="s">
        <v>2580</v>
      </c>
      <c r="S229" s="250"/>
      <c r="T229" s="159">
        <f t="shared" si="61"/>
        <v>0</v>
      </c>
      <c r="U229" s="250"/>
      <c r="V229" s="415">
        <v>223</v>
      </c>
      <c r="W229" s="346" t="s">
        <v>1481</v>
      </c>
      <c r="X229" s="346" t="s">
        <v>1610</v>
      </c>
      <c r="Y229" s="364">
        <v>-152385.72</v>
      </c>
      <c r="Z229" s="364">
        <v>-103419.53899999999</v>
      </c>
      <c r="AA229" s="369"/>
      <c r="AB229" s="505">
        <v>-46578.489999999976</v>
      </c>
      <c r="AC229" s="350">
        <f t="shared" si="62"/>
        <v>-302383.74899999995</v>
      </c>
      <c r="AG229" s="159">
        <f t="shared" si="63"/>
        <v>0</v>
      </c>
      <c r="AI229" s="442" t="s">
        <v>1481</v>
      </c>
      <c r="AJ229" s="346" t="s">
        <v>1610</v>
      </c>
      <c r="AK229" s="364">
        <v>0</v>
      </c>
      <c r="AL229" s="364">
        <v>-103419.53899999999</v>
      </c>
      <c r="AM229" s="369"/>
      <c r="AN229" s="505">
        <v>-46578.489999999976</v>
      </c>
      <c r="AO229" s="448">
        <v>-354622.02899999998</v>
      </c>
      <c r="AP229" s="448"/>
      <c r="AQ229" s="438"/>
      <c r="AR229" s="449">
        <f t="shared" si="65"/>
        <v>-149998.02899999998</v>
      </c>
      <c r="AS229" s="438"/>
      <c r="AT229" s="438"/>
      <c r="AU229" s="364">
        <v>-103419.53899999999</v>
      </c>
      <c r="AV229" s="369"/>
      <c r="AW229" s="505">
        <v>-46578.489999999976</v>
      </c>
      <c r="AX229" s="452">
        <f t="shared" si="59"/>
        <v>-149998.02899999998</v>
      </c>
      <c r="AY229" s="250">
        <f t="shared" si="64"/>
        <v>0</v>
      </c>
      <c r="AZ229" s="439"/>
      <c r="BA229" s="582">
        <v>-71829.656969999982</v>
      </c>
      <c r="BB229" s="462">
        <f t="shared" si="60"/>
        <v>-221827.68596999996</v>
      </c>
      <c r="BC229" s="463">
        <f t="shared" si="52"/>
        <v>0</v>
      </c>
      <c r="BD229" s="431"/>
      <c r="BE229" s="435">
        <f t="shared" si="55"/>
        <v>0</v>
      </c>
    </row>
    <row r="230" spans="1:57" ht="15">
      <c r="A230" s="415">
        <v>224</v>
      </c>
      <c r="B230" s="415">
        <v>27</v>
      </c>
      <c r="C230" t="s">
        <v>211</v>
      </c>
      <c r="D230" t="s">
        <v>848</v>
      </c>
      <c r="E230" s="364">
        <v>-178454.26219599985</v>
      </c>
      <c r="F230" s="364">
        <v>-330863.23447950417</v>
      </c>
      <c r="G230" s="369">
        <v>-416956.37579300022</v>
      </c>
      <c r="H230" s="364">
        <v>-541022.29085892544</v>
      </c>
      <c r="I230" s="350">
        <f t="shared" si="57"/>
        <v>-1467296.1633274297</v>
      </c>
      <c r="K230" s="66">
        <f t="shared" si="58"/>
        <v>0</v>
      </c>
      <c r="L230" s="66"/>
      <c r="M230" s="415">
        <v>224</v>
      </c>
      <c r="N230" s="415">
        <v>27</v>
      </c>
      <c r="O230" s="66" t="s">
        <v>211</v>
      </c>
      <c r="P230" t="s">
        <v>848</v>
      </c>
      <c r="Q230" s="364">
        <v>-541022.29085892544</v>
      </c>
      <c r="R230" t="s">
        <v>2580</v>
      </c>
      <c r="S230" s="250"/>
      <c r="T230" s="159">
        <f t="shared" si="61"/>
        <v>0</v>
      </c>
      <c r="U230" s="250"/>
      <c r="V230" s="415">
        <v>224</v>
      </c>
      <c r="W230" t="s">
        <v>211</v>
      </c>
      <c r="X230" t="s">
        <v>848</v>
      </c>
      <c r="Y230" s="364">
        <v>-152390.1612</v>
      </c>
      <c r="Z230" s="364">
        <v>-178454.26219599985</v>
      </c>
      <c r="AA230" s="369">
        <v>-330863.23447950417</v>
      </c>
      <c r="AB230" s="505">
        <v>-416956.37579300022</v>
      </c>
      <c r="AC230" s="350">
        <f t="shared" si="62"/>
        <v>-1078664.0336685041</v>
      </c>
      <c r="AG230" s="159">
        <f t="shared" si="63"/>
        <v>0</v>
      </c>
      <c r="AI230" s="442" t="s">
        <v>211</v>
      </c>
      <c r="AJ230" t="s">
        <v>848</v>
      </c>
      <c r="AK230" s="364">
        <v>0</v>
      </c>
      <c r="AL230" s="364">
        <v>-178454.26219599985</v>
      </c>
      <c r="AM230" s="369">
        <v>-330863.23447950417</v>
      </c>
      <c r="AN230" s="505">
        <v>-416956.37579300022</v>
      </c>
      <c r="AO230" s="448">
        <v>-949437.24787550408</v>
      </c>
      <c r="AP230" s="448"/>
      <c r="AQ230" s="438"/>
      <c r="AR230" s="449">
        <f t="shared" si="65"/>
        <v>-926273.87246850424</v>
      </c>
      <c r="AS230" s="438"/>
      <c r="AT230" s="438"/>
      <c r="AU230" s="364">
        <v>-178454.26219599985</v>
      </c>
      <c r="AV230" s="369">
        <v>-330863.23447950417</v>
      </c>
      <c r="AW230" s="505">
        <v>-416956.37579300022</v>
      </c>
      <c r="AX230" s="452">
        <f t="shared" si="59"/>
        <v>-926273.87246850424</v>
      </c>
      <c r="AY230" s="250">
        <f t="shared" si="64"/>
        <v>0</v>
      </c>
      <c r="AZ230" s="439"/>
      <c r="BA230" s="582">
        <v>-541022.29085892544</v>
      </c>
      <c r="BB230" s="462">
        <f t="shared" si="60"/>
        <v>-1467296.1633274297</v>
      </c>
      <c r="BC230" s="463">
        <f t="shared" si="52"/>
        <v>0</v>
      </c>
      <c r="BD230" s="431"/>
      <c r="BE230" s="435">
        <f t="shared" si="55"/>
        <v>0</v>
      </c>
    </row>
    <row r="231" spans="1:57" ht="15">
      <c r="A231" s="415">
        <v>225</v>
      </c>
      <c r="B231" s="415">
        <v>83</v>
      </c>
      <c r="C231" t="s">
        <v>311</v>
      </c>
      <c r="D231" t="s">
        <v>893</v>
      </c>
      <c r="E231" s="364">
        <v>-77395.518276000075</v>
      </c>
      <c r="F231" s="364">
        <v>-55420.191395000002</v>
      </c>
      <c r="G231" s="369">
        <v>-66693.302089999983</v>
      </c>
      <c r="H231" s="364">
        <v>-122846.24028800003</v>
      </c>
      <c r="I231" s="350">
        <f t="shared" si="57"/>
        <v>-322355.25204900012</v>
      </c>
      <c r="K231" s="66">
        <f t="shared" si="58"/>
        <v>0</v>
      </c>
      <c r="L231" s="66"/>
      <c r="M231" s="415">
        <v>225</v>
      </c>
      <c r="N231" s="415">
        <v>83</v>
      </c>
      <c r="O231" s="66" t="s">
        <v>311</v>
      </c>
      <c r="P231" t="s">
        <v>893</v>
      </c>
      <c r="Q231" s="364">
        <v>-122846.24028800003</v>
      </c>
      <c r="R231" t="s">
        <v>2580</v>
      </c>
      <c r="S231" s="250"/>
      <c r="T231" s="159">
        <f t="shared" si="61"/>
        <v>0</v>
      </c>
      <c r="U231" s="250"/>
      <c r="V231" s="415">
        <v>225</v>
      </c>
      <c r="W231" t="s">
        <v>311</v>
      </c>
      <c r="X231" t="s">
        <v>893</v>
      </c>
      <c r="Y231" s="364">
        <v>-19146.094232999985</v>
      </c>
      <c r="Z231" s="364">
        <v>-77395.518276000075</v>
      </c>
      <c r="AA231" s="369">
        <v>-55420.191395000002</v>
      </c>
      <c r="AB231" s="505">
        <v>-66693.302089999983</v>
      </c>
      <c r="AC231" s="350">
        <f t="shared" si="62"/>
        <v>-218655.10599400004</v>
      </c>
      <c r="AG231" s="159">
        <f t="shared" si="63"/>
        <v>0</v>
      </c>
      <c r="AI231" s="442" t="s">
        <v>311</v>
      </c>
      <c r="AJ231" t="s">
        <v>893</v>
      </c>
      <c r="AK231" s="364">
        <v>0</v>
      </c>
      <c r="AL231" s="364">
        <v>-77395.518276000075</v>
      </c>
      <c r="AM231" s="369">
        <v>-55420.191395000002</v>
      </c>
      <c r="AN231" s="505">
        <v>-66693.302089999983</v>
      </c>
      <c r="AO231" s="448">
        <v>-164055.67390400005</v>
      </c>
      <c r="AP231" s="448"/>
      <c r="AQ231" s="438"/>
      <c r="AR231" s="449">
        <f t="shared" si="65"/>
        <v>-199509.01176100006</v>
      </c>
      <c r="AS231" s="438"/>
      <c r="AT231" s="438"/>
      <c r="AU231" s="364">
        <v>-77395.518276000075</v>
      </c>
      <c r="AV231" s="369">
        <v>-55420.191395000002</v>
      </c>
      <c r="AW231" s="505">
        <v>-66693.302089999983</v>
      </c>
      <c r="AX231" s="452">
        <f t="shared" si="59"/>
        <v>-199509.01176100006</v>
      </c>
      <c r="AY231" s="250">
        <f t="shared" si="64"/>
        <v>0</v>
      </c>
      <c r="AZ231" s="439"/>
      <c r="BA231" s="582">
        <v>-122846.24028800003</v>
      </c>
      <c r="BB231" s="462">
        <f t="shared" si="60"/>
        <v>-322355.25204900012</v>
      </c>
      <c r="BC231" s="463">
        <f t="shared" si="52"/>
        <v>0</v>
      </c>
      <c r="BD231" s="431"/>
      <c r="BE231" s="435">
        <f t="shared" si="55"/>
        <v>0</v>
      </c>
    </row>
    <row r="232" spans="1:57" ht="15">
      <c r="A232" s="415">
        <v>226</v>
      </c>
      <c r="B232" s="415">
        <v>67</v>
      </c>
      <c r="C232" t="s">
        <v>279</v>
      </c>
      <c r="D232" t="s">
        <v>879</v>
      </c>
      <c r="E232" s="364">
        <v>0</v>
      </c>
      <c r="F232" s="364">
        <v>-5624.3005379999522</v>
      </c>
      <c r="G232" s="369">
        <v>-62693.510699999984</v>
      </c>
      <c r="H232" s="364">
        <v>-208846.79195299977</v>
      </c>
      <c r="I232" s="350">
        <f t="shared" si="57"/>
        <v>-277164.60319099971</v>
      </c>
      <c r="K232" s="66">
        <f t="shared" si="58"/>
        <v>0</v>
      </c>
      <c r="L232" s="66"/>
      <c r="M232" s="415">
        <v>226</v>
      </c>
      <c r="N232" s="415">
        <v>67</v>
      </c>
      <c r="O232" s="66" t="s">
        <v>279</v>
      </c>
      <c r="P232" t="s">
        <v>879</v>
      </c>
      <c r="Q232" s="364">
        <v>-208846.79195299977</v>
      </c>
      <c r="R232" t="s">
        <v>2580</v>
      </c>
      <c r="S232" s="250"/>
      <c r="T232" s="159">
        <f t="shared" si="61"/>
        <v>0</v>
      </c>
      <c r="U232" s="250"/>
      <c r="V232" s="415">
        <v>226</v>
      </c>
      <c r="W232" t="s">
        <v>279</v>
      </c>
      <c r="X232" t="s">
        <v>879</v>
      </c>
      <c r="Y232" s="364">
        <v>-205558.26806899998</v>
      </c>
      <c r="Z232" s="364">
        <v>0</v>
      </c>
      <c r="AA232" s="369">
        <v>-5624.3005379999522</v>
      </c>
      <c r="AB232" s="505">
        <v>-62693.510699999984</v>
      </c>
      <c r="AC232" s="350">
        <f t="shared" si="62"/>
        <v>-273876.07930699992</v>
      </c>
      <c r="AG232" s="159">
        <f t="shared" si="63"/>
        <v>0</v>
      </c>
      <c r="AI232" s="442" t="s">
        <v>279</v>
      </c>
      <c r="AJ232" t="s">
        <v>879</v>
      </c>
      <c r="AK232" s="364">
        <v>0</v>
      </c>
      <c r="AL232" s="364">
        <v>0</v>
      </c>
      <c r="AM232" s="369">
        <v>-5624.3005379999522</v>
      </c>
      <c r="AN232" s="505">
        <v>-62693.510699999984</v>
      </c>
      <c r="AO232" s="448">
        <v>-454202.23152299994</v>
      </c>
      <c r="AP232" s="448"/>
      <c r="AQ232" s="438"/>
      <c r="AR232" s="449">
        <f t="shared" si="65"/>
        <v>-68317.811237999937</v>
      </c>
      <c r="AS232" s="438"/>
      <c r="AT232" s="438"/>
      <c r="AU232" s="364">
        <v>0</v>
      </c>
      <c r="AV232" s="369">
        <v>-5624.3005379999522</v>
      </c>
      <c r="AW232" s="505">
        <v>-62693.510699999984</v>
      </c>
      <c r="AX232" s="452">
        <f t="shared" si="59"/>
        <v>-68317.811237999937</v>
      </c>
      <c r="AY232" s="250">
        <f t="shared" si="64"/>
        <v>0</v>
      </c>
      <c r="AZ232" s="439"/>
      <c r="BA232" s="582">
        <v>-208846.79195299977</v>
      </c>
      <c r="BB232" s="462">
        <f t="shared" si="60"/>
        <v>-277164.60319099971</v>
      </c>
      <c r="BC232" s="463">
        <f t="shared" si="52"/>
        <v>0</v>
      </c>
      <c r="BD232" s="431"/>
      <c r="BE232" s="435">
        <f t="shared" si="55"/>
        <v>0</v>
      </c>
    </row>
    <row r="233" spans="1:57" ht="15">
      <c r="A233" s="415">
        <v>227</v>
      </c>
      <c r="B233" s="415">
        <v>278</v>
      </c>
      <c r="C233" t="s">
        <v>648</v>
      </c>
      <c r="D233" t="s">
        <v>1041</v>
      </c>
      <c r="E233" s="364">
        <v>-1983.0119699999923</v>
      </c>
      <c r="F233" s="364">
        <v>-146848.08393999992</v>
      </c>
      <c r="G233" s="369">
        <v>-68926.866810000152</v>
      </c>
      <c r="H233" s="364">
        <v>-186818.48430000001</v>
      </c>
      <c r="I233" s="350">
        <f t="shared" si="57"/>
        <v>-404576.44702000008</v>
      </c>
      <c r="K233" s="66">
        <f t="shared" si="58"/>
        <v>0</v>
      </c>
      <c r="L233" s="66"/>
      <c r="M233" s="415">
        <v>227</v>
      </c>
      <c r="N233" s="415">
        <v>278</v>
      </c>
      <c r="O233" s="66" t="s">
        <v>648</v>
      </c>
      <c r="P233" t="s">
        <v>1041</v>
      </c>
      <c r="Q233" s="364">
        <v>-186818.48430000001</v>
      </c>
      <c r="R233" t="s">
        <v>2580</v>
      </c>
      <c r="S233" s="250"/>
      <c r="T233" s="159">
        <f t="shared" si="61"/>
        <v>0</v>
      </c>
      <c r="U233" s="250"/>
      <c r="V233" s="415">
        <v>227</v>
      </c>
      <c r="W233" t="s">
        <v>648</v>
      </c>
      <c r="X233" t="s">
        <v>1041</v>
      </c>
      <c r="Y233" s="364">
        <v>-67546.536266000068</v>
      </c>
      <c r="Z233" s="364">
        <v>-1983.0119699999923</v>
      </c>
      <c r="AA233" s="369">
        <v>-146848.08393999992</v>
      </c>
      <c r="AB233" s="505">
        <v>-68926.866810000152</v>
      </c>
      <c r="AC233" s="350">
        <f t="shared" si="62"/>
        <v>-285304.49898600014</v>
      </c>
      <c r="AG233" s="159">
        <f t="shared" si="63"/>
        <v>0</v>
      </c>
      <c r="AI233" s="442" t="s">
        <v>648</v>
      </c>
      <c r="AJ233" t="s">
        <v>1041</v>
      </c>
      <c r="AK233" s="364">
        <v>0</v>
      </c>
      <c r="AL233" s="364">
        <v>-1983.0119699999923</v>
      </c>
      <c r="AM233" s="369">
        <v>-146848.08393999992</v>
      </c>
      <c r="AN233" s="505">
        <v>-68926.866810000152</v>
      </c>
      <c r="AO233" s="448">
        <v>-368246.97217600001</v>
      </c>
      <c r="AP233" s="448"/>
      <c r="AQ233" s="438"/>
      <c r="AR233" s="449">
        <f t="shared" si="65"/>
        <v>-217757.96272000007</v>
      </c>
      <c r="AS233" s="438"/>
      <c r="AT233" s="438"/>
      <c r="AU233" s="364">
        <v>-1983.0119699999923</v>
      </c>
      <c r="AV233" s="369">
        <v>-146848.08393999992</v>
      </c>
      <c r="AW233" s="505">
        <v>-68926.866810000152</v>
      </c>
      <c r="AX233" s="452">
        <f t="shared" si="59"/>
        <v>-217757.96272000007</v>
      </c>
      <c r="AY233" s="250">
        <f t="shared" si="64"/>
        <v>0</v>
      </c>
      <c r="AZ233" s="439"/>
      <c r="BA233" s="582">
        <v>-186818.48430000001</v>
      </c>
      <c r="BB233" s="462">
        <f t="shared" si="60"/>
        <v>-404576.44702000008</v>
      </c>
      <c r="BC233" s="463">
        <f t="shared" si="52"/>
        <v>0</v>
      </c>
      <c r="BD233" s="431"/>
      <c r="BE233" s="435">
        <f t="shared" si="55"/>
        <v>0</v>
      </c>
    </row>
    <row r="234" spans="1:57" ht="15">
      <c r="A234" s="415">
        <v>228</v>
      </c>
      <c r="B234" s="415">
        <v>120</v>
      </c>
      <c r="C234" t="s">
        <v>1388</v>
      </c>
      <c r="D234" t="s">
        <v>1387</v>
      </c>
      <c r="E234" s="364">
        <v>-89900.424999999974</v>
      </c>
      <c r="F234" s="364">
        <v>-66635.681638000024</v>
      </c>
      <c r="G234" s="369">
        <v>-164486.33360000001</v>
      </c>
      <c r="H234" s="364">
        <v>-132902.68</v>
      </c>
      <c r="I234" s="350">
        <f t="shared" si="57"/>
        <v>-453925.120238</v>
      </c>
      <c r="K234" s="66">
        <f t="shared" si="58"/>
        <v>0</v>
      </c>
      <c r="L234" s="66"/>
      <c r="M234" s="415">
        <v>228</v>
      </c>
      <c r="N234" s="415">
        <v>120</v>
      </c>
      <c r="O234" s="66" t="s">
        <v>1388</v>
      </c>
      <c r="P234" t="s">
        <v>1387</v>
      </c>
      <c r="Q234" s="364">
        <v>-132902.68</v>
      </c>
      <c r="R234" t="s">
        <v>2580</v>
      </c>
      <c r="S234" s="250"/>
      <c r="T234" s="159">
        <f t="shared" si="61"/>
        <v>0</v>
      </c>
      <c r="U234" s="250"/>
      <c r="V234" s="415">
        <v>228</v>
      </c>
      <c r="W234" t="s">
        <v>1388</v>
      </c>
      <c r="X234" t="s">
        <v>1387</v>
      </c>
      <c r="Y234" s="364">
        <v>-41900.470999999998</v>
      </c>
      <c r="Z234" s="364">
        <v>-89900.424999999974</v>
      </c>
      <c r="AA234" s="369">
        <v>-66635.681638000024</v>
      </c>
      <c r="AB234" s="505">
        <v>-164486.33360000001</v>
      </c>
      <c r="AC234" s="350">
        <f t="shared" si="62"/>
        <v>-362922.91123800003</v>
      </c>
      <c r="AG234" s="159">
        <f t="shared" si="63"/>
        <v>0</v>
      </c>
      <c r="AI234" s="442" t="s">
        <v>1388</v>
      </c>
      <c r="AJ234" t="s">
        <v>1387</v>
      </c>
      <c r="AK234" s="364">
        <v>0</v>
      </c>
      <c r="AL234" s="364">
        <v>-89900.424999999974</v>
      </c>
      <c r="AM234" s="369">
        <v>-66635.681638000024</v>
      </c>
      <c r="AN234" s="505">
        <v>-164486.33360000001</v>
      </c>
      <c r="AO234" s="448">
        <v>-259264.117638</v>
      </c>
      <c r="AP234" s="448"/>
      <c r="AQ234" s="438"/>
      <c r="AR234" s="449">
        <f t="shared" si="65"/>
        <v>-321022.44023800001</v>
      </c>
      <c r="AS234" s="438"/>
      <c r="AT234" s="438"/>
      <c r="AU234" s="364">
        <v>-89900.424999999974</v>
      </c>
      <c r="AV234" s="369">
        <v>-66635.681638000024</v>
      </c>
      <c r="AW234" s="505">
        <v>-164486.33360000001</v>
      </c>
      <c r="AX234" s="452">
        <f t="shared" si="59"/>
        <v>-321022.44023800001</v>
      </c>
      <c r="AY234" s="250">
        <f t="shared" si="64"/>
        <v>0</v>
      </c>
      <c r="AZ234" s="439"/>
      <c r="BA234" s="582">
        <v>-132902.68</v>
      </c>
      <c r="BB234" s="462">
        <f t="shared" si="60"/>
        <v>-453925.120238</v>
      </c>
      <c r="BC234" s="463">
        <f t="shared" si="52"/>
        <v>0</v>
      </c>
      <c r="BD234" s="431"/>
      <c r="BE234" s="435">
        <f t="shared" si="55"/>
        <v>0</v>
      </c>
    </row>
    <row r="235" spans="1:57" ht="15">
      <c r="A235" s="415">
        <v>229</v>
      </c>
      <c r="B235" s="415">
        <v>121</v>
      </c>
      <c r="C235" s="346" t="s">
        <v>1477</v>
      </c>
      <c r="D235" s="344" t="s">
        <v>1588</v>
      </c>
      <c r="E235" s="366">
        <v>-31411.993000000017</v>
      </c>
      <c r="F235" s="366">
        <v>-116902.22</v>
      </c>
      <c r="G235" s="369">
        <v>-116510.29657200001</v>
      </c>
      <c r="H235" s="364">
        <v>-136094.56435</v>
      </c>
      <c r="I235" s="350">
        <f t="shared" si="57"/>
        <v>-400919.07392200001</v>
      </c>
      <c r="K235" s="66">
        <f t="shared" si="58"/>
        <v>0</v>
      </c>
      <c r="L235" s="66"/>
      <c r="M235" s="415">
        <v>229</v>
      </c>
      <c r="N235" s="415">
        <v>121</v>
      </c>
      <c r="O235" s="66" t="s">
        <v>1477</v>
      </c>
      <c r="P235" s="344" t="s">
        <v>1588</v>
      </c>
      <c r="Q235" s="364">
        <v>-136094.56435</v>
      </c>
      <c r="R235" t="s">
        <v>2580</v>
      </c>
      <c r="S235" s="250"/>
      <c r="T235" s="159">
        <f t="shared" si="61"/>
        <v>0</v>
      </c>
      <c r="U235" s="250"/>
      <c r="V235" s="415">
        <v>229</v>
      </c>
      <c r="W235" s="346" t="s">
        <v>1477</v>
      </c>
      <c r="X235" s="344" t="s">
        <v>1588</v>
      </c>
      <c r="Y235" s="366">
        <v>-14062.004999999997</v>
      </c>
      <c r="Z235" s="366">
        <v>-31411.993000000017</v>
      </c>
      <c r="AA235" s="369">
        <v>-116902.22</v>
      </c>
      <c r="AB235" s="505">
        <v>-116510.29657200001</v>
      </c>
      <c r="AC235" s="350">
        <f t="shared" si="62"/>
        <v>-278886.51457200001</v>
      </c>
      <c r="AG235" s="159">
        <f t="shared" si="63"/>
        <v>0</v>
      </c>
      <c r="AI235" s="442" t="s">
        <v>1477</v>
      </c>
      <c r="AJ235" s="344" t="s">
        <v>1588</v>
      </c>
      <c r="AK235" s="364">
        <v>0</v>
      </c>
      <c r="AL235" s="366">
        <v>-31411.993000000017</v>
      </c>
      <c r="AM235" s="369">
        <v>-116902.22</v>
      </c>
      <c r="AN235" s="505">
        <v>-116510.29657200001</v>
      </c>
      <c r="AO235" s="448">
        <v>-162376.21800000002</v>
      </c>
      <c r="AP235" s="448"/>
      <c r="AQ235" s="438"/>
      <c r="AR235" s="449">
        <f t="shared" si="65"/>
        <v>-264824.50957200001</v>
      </c>
      <c r="AS235" s="438"/>
      <c r="AT235" s="438"/>
      <c r="AU235" s="366">
        <v>-31411.993000000017</v>
      </c>
      <c r="AV235" s="369">
        <v>-116902.22</v>
      </c>
      <c r="AW235" s="505">
        <v>-116510.29657200001</v>
      </c>
      <c r="AX235" s="452">
        <f t="shared" si="59"/>
        <v>-264824.50957200001</v>
      </c>
      <c r="AY235" s="250">
        <f t="shared" si="64"/>
        <v>0</v>
      </c>
      <c r="AZ235" s="439"/>
      <c r="BA235" s="582">
        <v>-136094.56435</v>
      </c>
      <c r="BB235" s="462">
        <f t="shared" si="60"/>
        <v>-400919.07392200001</v>
      </c>
      <c r="BC235" s="463">
        <f t="shared" si="52"/>
        <v>0</v>
      </c>
      <c r="BD235" s="431"/>
      <c r="BE235" s="435">
        <f t="shared" si="55"/>
        <v>0</v>
      </c>
    </row>
    <row r="236" spans="1:57" ht="15">
      <c r="A236" s="415">
        <v>230</v>
      </c>
      <c r="B236" s="415">
        <v>188</v>
      </c>
      <c r="C236" t="s">
        <v>490</v>
      </c>
      <c r="D236" t="s">
        <v>974</v>
      </c>
      <c r="E236" s="364">
        <v>-19470.008844000055</v>
      </c>
      <c r="F236" s="364">
        <v>-83395.094760000007</v>
      </c>
      <c r="G236" s="369">
        <v>-90688.795741999988</v>
      </c>
      <c r="H236" s="364">
        <v>-27951.13240000006</v>
      </c>
      <c r="I236" s="350">
        <f t="shared" si="57"/>
        <v>-221505.03174600011</v>
      </c>
      <c r="K236" s="66">
        <f t="shared" si="58"/>
        <v>0</v>
      </c>
      <c r="L236" s="66"/>
      <c r="M236" s="415">
        <v>230</v>
      </c>
      <c r="N236" s="415">
        <v>188</v>
      </c>
      <c r="O236" s="66" t="s">
        <v>490</v>
      </c>
      <c r="P236" t="s">
        <v>974</v>
      </c>
      <c r="Q236" s="364">
        <v>-27951.13240000006</v>
      </c>
      <c r="R236" t="s">
        <v>2580</v>
      </c>
      <c r="S236" s="250"/>
      <c r="T236" s="159">
        <f t="shared" si="61"/>
        <v>0</v>
      </c>
      <c r="U236" s="250"/>
      <c r="V236" s="415">
        <v>230</v>
      </c>
      <c r="W236" t="s">
        <v>490</v>
      </c>
      <c r="X236" t="s">
        <v>974</v>
      </c>
      <c r="Y236" s="364">
        <v>-10785.558647999991</v>
      </c>
      <c r="Z236" s="364">
        <v>-19470.008844000055</v>
      </c>
      <c r="AA236" s="369">
        <v>-83395.094760000007</v>
      </c>
      <c r="AB236" s="505">
        <v>-90688.795741999988</v>
      </c>
      <c r="AC236" s="350">
        <f t="shared" si="62"/>
        <v>-204339.45799400005</v>
      </c>
      <c r="AG236" s="159">
        <f t="shared" si="63"/>
        <v>0</v>
      </c>
      <c r="AI236" s="442" t="s">
        <v>490</v>
      </c>
      <c r="AJ236" t="s">
        <v>974</v>
      </c>
      <c r="AK236" s="364">
        <v>0</v>
      </c>
      <c r="AL236" s="364">
        <v>-19470.008844000055</v>
      </c>
      <c r="AM236" s="369">
        <v>-83395.094760000007</v>
      </c>
      <c r="AN236" s="505">
        <v>-90688.795741999988</v>
      </c>
      <c r="AO236" s="448">
        <v>-227367.58225200005</v>
      </c>
      <c r="AP236" s="448"/>
      <c r="AQ236" s="438"/>
      <c r="AR236" s="449">
        <f t="shared" si="65"/>
        <v>-193553.89934600005</v>
      </c>
      <c r="AS236" s="438"/>
      <c r="AT236" s="438"/>
      <c r="AU236" s="364">
        <v>-19470.008844000055</v>
      </c>
      <c r="AV236" s="369">
        <v>-83395.094760000007</v>
      </c>
      <c r="AW236" s="505">
        <v>-90688.795741999988</v>
      </c>
      <c r="AX236" s="452">
        <f t="shared" si="59"/>
        <v>-193553.89934600005</v>
      </c>
      <c r="AY236" s="250">
        <f t="shared" si="64"/>
        <v>0</v>
      </c>
      <c r="AZ236" s="439"/>
      <c r="BA236" s="582">
        <v>-27951.13240000006</v>
      </c>
      <c r="BB236" s="462">
        <f t="shared" si="60"/>
        <v>-221505.03174600011</v>
      </c>
      <c r="BC236" s="463">
        <f t="shared" si="52"/>
        <v>0</v>
      </c>
      <c r="BD236" s="431"/>
      <c r="BE236" s="435">
        <f t="shared" si="55"/>
        <v>0</v>
      </c>
    </row>
    <row r="237" spans="1:57" ht="15">
      <c r="A237" s="415">
        <v>231</v>
      </c>
      <c r="B237" s="415">
        <v>164</v>
      </c>
      <c r="C237" t="s">
        <v>444</v>
      </c>
      <c r="D237" t="s">
        <v>1616</v>
      </c>
      <c r="E237" s="364">
        <v>-17344.319573000015</v>
      </c>
      <c r="F237" s="364">
        <v>-225459.94650000002</v>
      </c>
      <c r="G237" s="369">
        <v>0</v>
      </c>
      <c r="H237" s="364">
        <v>-111916.67752000003</v>
      </c>
      <c r="I237" s="350">
        <f t="shared" si="57"/>
        <v>-354720.94359300006</v>
      </c>
      <c r="K237" s="66">
        <f t="shared" si="58"/>
        <v>0</v>
      </c>
      <c r="L237" s="66"/>
      <c r="M237" s="415">
        <v>231</v>
      </c>
      <c r="N237" s="415">
        <v>164</v>
      </c>
      <c r="O237" s="66" t="s">
        <v>444</v>
      </c>
      <c r="P237" t="s">
        <v>1616</v>
      </c>
      <c r="Q237" s="364">
        <v>-111916.67752000003</v>
      </c>
      <c r="R237" t="s">
        <v>2580</v>
      </c>
      <c r="S237" s="250"/>
      <c r="T237" s="159">
        <f t="shared" si="61"/>
        <v>0</v>
      </c>
      <c r="U237" s="250"/>
      <c r="V237" s="415">
        <v>231</v>
      </c>
      <c r="W237" t="s">
        <v>444</v>
      </c>
      <c r="X237" t="s">
        <v>1616</v>
      </c>
      <c r="Y237" s="364">
        <v>-70859.221733000057</v>
      </c>
      <c r="Z237" s="364">
        <v>-17344.319573000015</v>
      </c>
      <c r="AA237" s="369">
        <v>-225459.94650000002</v>
      </c>
      <c r="AB237" s="505">
        <v>11537.345359999978</v>
      </c>
      <c r="AC237" s="350">
        <f t="shared" si="62"/>
        <v>-302126.14244600013</v>
      </c>
      <c r="AG237" s="159">
        <f t="shared" si="63"/>
        <v>0</v>
      </c>
      <c r="AI237" s="442" t="s">
        <v>444</v>
      </c>
      <c r="AJ237" t="s">
        <v>1616</v>
      </c>
      <c r="AK237" s="364">
        <v>0</v>
      </c>
      <c r="AL237" s="364">
        <v>-17344.319573000015</v>
      </c>
      <c r="AM237" s="369">
        <v>-225459.94650000002</v>
      </c>
      <c r="AN237" s="505">
        <v>0</v>
      </c>
      <c r="AO237" s="448">
        <v>-387017.37780600006</v>
      </c>
      <c r="AP237" s="448"/>
      <c r="AQ237" s="438"/>
      <c r="AR237" s="449">
        <f t="shared" si="65"/>
        <v>-242804.26607300004</v>
      </c>
      <c r="AS237" s="438"/>
      <c r="AT237" s="438"/>
      <c r="AU237" s="364">
        <v>-17344.319573000015</v>
      </c>
      <c r="AV237" s="369">
        <v>-225459.94650000002</v>
      </c>
      <c r="AW237" s="505">
        <v>0</v>
      </c>
      <c r="AX237" s="452">
        <f t="shared" si="59"/>
        <v>-242804.26607300004</v>
      </c>
      <c r="AY237" s="250">
        <f t="shared" si="64"/>
        <v>0</v>
      </c>
      <c r="AZ237" s="439"/>
      <c r="BA237" s="582">
        <v>-111916.67752000003</v>
      </c>
      <c r="BB237" s="462">
        <f t="shared" si="60"/>
        <v>-354720.94359300006</v>
      </c>
      <c r="BC237" s="463">
        <f t="shared" si="52"/>
        <v>0</v>
      </c>
      <c r="BD237" s="431"/>
      <c r="BE237" s="435">
        <f t="shared" si="55"/>
        <v>0</v>
      </c>
    </row>
    <row r="238" spans="1:57" ht="15">
      <c r="A238" s="415">
        <v>232</v>
      </c>
      <c r="B238" s="415">
        <v>103</v>
      </c>
      <c r="C238" t="s">
        <v>350</v>
      </c>
      <c r="D238" t="s">
        <v>912</v>
      </c>
      <c r="E238" s="364">
        <v>-411272.12316168193</v>
      </c>
      <c r="F238" s="364">
        <v>-118490.50251825177</v>
      </c>
      <c r="G238" s="369">
        <v>-554349.68580600061</v>
      </c>
      <c r="H238" s="364">
        <v>-828330.82828000002</v>
      </c>
      <c r="I238" s="350">
        <f t="shared" si="57"/>
        <v>-1912443.1397659343</v>
      </c>
      <c r="K238" s="66">
        <f t="shared" si="58"/>
        <v>0</v>
      </c>
      <c r="L238" s="66"/>
      <c r="M238" s="415">
        <v>232</v>
      </c>
      <c r="N238" s="415">
        <v>103</v>
      </c>
      <c r="O238" s="66" t="s">
        <v>350</v>
      </c>
      <c r="P238" t="s">
        <v>912</v>
      </c>
      <c r="Q238" s="364">
        <v>-828330.82828000002</v>
      </c>
      <c r="R238" t="s">
        <v>2580</v>
      </c>
      <c r="S238" s="250"/>
      <c r="T238" s="159">
        <f t="shared" si="61"/>
        <v>0</v>
      </c>
      <c r="U238" s="250"/>
      <c r="V238" s="415">
        <v>232</v>
      </c>
      <c r="W238" t="s">
        <v>350</v>
      </c>
      <c r="X238" t="s">
        <v>912</v>
      </c>
      <c r="Y238" s="364">
        <v>-1046897.085175865</v>
      </c>
      <c r="Z238" s="364">
        <v>-411272.12316168193</v>
      </c>
      <c r="AA238" s="369">
        <v>-118490.50251825177</v>
      </c>
      <c r="AB238" s="505">
        <v>-554349.68580600061</v>
      </c>
      <c r="AC238" s="350">
        <f t="shared" si="62"/>
        <v>-2131009.3966617994</v>
      </c>
      <c r="AG238" s="159">
        <f t="shared" si="63"/>
        <v>0</v>
      </c>
      <c r="AI238" s="442" t="s">
        <v>350</v>
      </c>
      <c r="AJ238" t="s">
        <v>912</v>
      </c>
      <c r="AK238" s="364">
        <v>0</v>
      </c>
      <c r="AL238" s="364">
        <v>-411272.12316168193</v>
      </c>
      <c r="AM238" s="369">
        <v>-118490.50251825177</v>
      </c>
      <c r="AN238" s="505">
        <v>-554349.68580600061</v>
      </c>
      <c r="AO238" s="448">
        <v>-2459156.160855799</v>
      </c>
      <c r="AP238" s="448"/>
      <c r="AQ238" s="438"/>
      <c r="AR238" s="449">
        <f t="shared" si="65"/>
        <v>-1084112.3114859343</v>
      </c>
      <c r="AS238" s="438"/>
      <c r="AT238" s="438"/>
      <c r="AU238" s="364">
        <v>-411272.12316168193</v>
      </c>
      <c r="AV238" s="369">
        <v>-118490.50251825177</v>
      </c>
      <c r="AW238" s="505">
        <v>-554349.68580600061</v>
      </c>
      <c r="AX238" s="452">
        <f t="shared" si="59"/>
        <v>-1084112.3114859343</v>
      </c>
      <c r="AY238" s="250">
        <f t="shared" si="64"/>
        <v>0</v>
      </c>
      <c r="AZ238" s="439"/>
      <c r="BA238" s="582">
        <v>-828330.82828000002</v>
      </c>
      <c r="BB238" s="462">
        <f t="shared" si="60"/>
        <v>-1912443.1397659343</v>
      </c>
      <c r="BC238" s="463">
        <f t="shared" si="52"/>
        <v>0</v>
      </c>
      <c r="BD238" s="431"/>
      <c r="BE238" s="435">
        <f t="shared" si="55"/>
        <v>0</v>
      </c>
    </row>
    <row r="239" spans="1:57" ht="15">
      <c r="A239" s="415">
        <v>233</v>
      </c>
      <c r="B239" s="415">
        <v>59</v>
      </c>
      <c r="C239" t="s">
        <v>265</v>
      </c>
      <c r="D239" t="s">
        <v>873</v>
      </c>
      <c r="E239" s="364">
        <v>-64022.365625000035</v>
      </c>
      <c r="F239" s="364">
        <v>-118582.06733099994</v>
      </c>
      <c r="G239" s="369">
        <v>-136175.02515500004</v>
      </c>
      <c r="H239" s="364">
        <v>-147322.59075999999</v>
      </c>
      <c r="I239" s="350">
        <f t="shared" si="57"/>
        <v>-466102.04887100001</v>
      </c>
      <c r="K239" s="66">
        <f t="shared" si="58"/>
        <v>0</v>
      </c>
      <c r="L239" s="66"/>
      <c r="M239" s="415">
        <v>233</v>
      </c>
      <c r="N239" s="415">
        <v>59</v>
      </c>
      <c r="O239" s="66" t="s">
        <v>265</v>
      </c>
      <c r="P239" t="s">
        <v>873</v>
      </c>
      <c r="Q239" s="364">
        <v>-147322.59075999999</v>
      </c>
      <c r="R239" t="s">
        <v>2580</v>
      </c>
      <c r="S239" s="250"/>
      <c r="T239" s="159">
        <f t="shared" si="61"/>
        <v>0</v>
      </c>
      <c r="U239" s="250"/>
      <c r="V239" s="415">
        <v>233</v>
      </c>
      <c r="W239" t="s">
        <v>265</v>
      </c>
      <c r="X239" t="s">
        <v>873</v>
      </c>
      <c r="Y239" s="364">
        <v>-132692.11338099994</v>
      </c>
      <c r="Z239" s="364">
        <v>-64022.365625000035</v>
      </c>
      <c r="AA239" s="369">
        <v>-118582.06733099994</v>
      </c>
      <c r="AB239" s="505">
        <v>-136175.02515500004</v>
      </c>
      <c r="AC239" s="350">
        <f t="shared" si="62"/>
        <v>-451471.57149199996</v>
      </c>
      <c r="AG239" s="159">
        <f t="shared" si="63"/>
        <v>0</v>
      </c>
      <c r="AI239" s="442" t="s">
        <v>265</v>
      </c>
      <c r="AJ239" t="s">
        <v>873</v>
      </c>
      <c r="AK239" s="364">
        <v>0</v>
      </c>
      <c r="AL239" s="364">
        <v>-64022.365625000035</v>
      </c>
      <c r="AM239" s="369">
        <v>-118582.06733099994</v>
      </c>
      <c r="AN239" s="505">
        <v>-136175.02515500004</v>
      </c>
      <c r="AO239" s="448">
        <v>-474463.97633699991</v>
      </c>
      <c r="AP239" s="448"/>
      <c r="AQ239" s="438"/>
      <c r="AR239" s="449">
        <f t="shared" ref="AR239:AR248" si="66">SUM(AL239:AN239)</f>
        <v>-318779.45811100001</v>
      </c>
      <c r="AS239" s="438"/>
      <c r="AT239" s="438"/>
      <c r="AU239" s="364">
        <v>-64022.365625000035</v>
      </c>
      <c r="AV239" s="369">
        <v>-118582.06733099994</v>
      </c>
      <c r="AW239" s="505">
        <v>-136175.02515500004</v>
      </c>
      <c r="AX239" s="452">
        <f t="shared" si="59"/>
        <v>-318779.45811100001</v>
      </c>
      <c r="AY239" s="250">
        <f t="shared" si="64"/>
        <v>0</v>
      </c>
      <c r="AZ239" s="439"/>
      <c r="BA239" s="582">
        <v>-147322.59075999999</v>
      </c>
      <c r="BB239" s="462">
        <f t="shared" si="60"/>
        <v>-466102.04887100001</v>
      </c>
      <c r="BC239" s="463">
        <f t="shared" si="52"/>
        <v>0</v>
      </c>
      <c r="BD239" s="431"/>
      <c r="BE239" s="435">
        <f t="shared" si="55"/>
        <v>0</v>
      </c>
    </row>
    <row r="240" spans="1:57" ht="15">
      <c r="A240" s="415">
        <v>234</v>
      </c>
      <c r="B240" s="415">
        <v>13</v>
      </c>
      <c r="C240" t="s">
        <v>187</v>
      </c>
      <c r="D240" t="s">
        <v>837</v>
      </c>
      <c r="E240" s="364">
        <v>499584.78148993792</v>
      </c>
      <c r="F240" s="364">
        <v>338635.79078151379</v>
      </c>
      <c r="G240" s="369">
        <v>338837.49583000038</v>
      </c>
      <c r="H240" s="364">
        <v>136398.20296700858</v>
      </c>
      <c r="I240" s="350">
        <f t="shared" si="57"/>
        <v>1313456.2710684608</v>
      </c>
      <c r="K240" s="66">
        <f t="shared" si="58"/>
        <v>0</v>
      </c>
      <c r="L240" s="66"/>
      <c r="M240" s="415">
        <v>234</v>
      </c>
      <c r="N240" s="415">
        <v>13</v>
      </c>
      <c r="O240" s="66" t="s">
        <v>187</v>
      </c>
      <c r="P240" t="s">
        <v>837</v>
      </c>
      <c r="Q240" s="364">
        <v>136398.20296700858</v>
      </c>
      <c r="R240" t="s">
        <v>2580</v>
      </c>
      <c r="S240" s="250"/>
      <c r="T240" s="159">
        <f t="shared" si="61"/>
        <v>0</v>
      </c>
      <c r="U240" s="250"/>
      <c r="V240" s="415">
        <v>234</v>
      </c>
      <c r="W240" t="s">
        <v>187</v>
      </c>
      <c r="X240" t="s">
        <v>837</v>
      </c>
      <c r="Y240" s="364">
        <v>0</v>
      </c>
      <c r="Z240" s="364">
        <v>499584.78148993792</v>
      </c>
      <c r="AA240" s="369">
        <v>338635.79078151379</v>
      </c>
      <c r="AB240" s="505">
        <v>338837.49583000038</v>
      </c>
      <c r="AC240" s="350">
        <f t="shared" si="62"/>
        <v>1177058.0681014522</v>
      </c>
      <c r="AG240" s="159">
        <f t="shared" si="63"/>
        <v>0</v>
      </c>
      <c r="AI240" s="442" t="s">
        <v>187</v>
      </c>
      <c r="AJ240" t="s">
        <v>837</v>
      </c>
      <c r="AK240" s="364">
        <v>0</v>
      </c>
      <c r="AL240" s="364">
        <v>499584.78148993792</v>
      </c>
      <c r="AM240" s="369">
        <v>338635.79078151379</v>
      </c>
      <c r="AN240" s="505">
        <v>338837.49583000038</v>
      </c>
      <c r="AO240" s="448">
        <v>838220.5722714517</v>
      </c>
      <c r="AP240" s="450">
        <f>+AM240+AK240</f>
        <v>338635.79078151379</v>
      </c>
      <c r="AQ240" s="438"/>
      <c r="AR240" s="449">
        <f t="shared" si="66"/>
        <v>1177058.0681014522</v>
      </c>
      <c r="AS240" s="438"/>
      <c r="AT240" s="438"/>
      <c r="AU240" s="364">
        <v>499584.78148993792</v>
      </c>
      <c r="AV240" s="369">
        <v>338635.79078151379</v>
      </c>
      <c r="AW240" s="505">
        <v>338837.49583000038</v>
      </c>
      <c r="AX240" s="452">
        <f t="shared" si="59"/>
        <v>1177058.0681014522</v>
      </c>
      <c r="AY240" s="250">
        <f t="shared" si="64"/>
        <v>0</v>
      </c>
      <c r="AZ240" s="439"/>
      <c r="BA240" s="582">
        <v>136398.20296700858</v>
      </c>
      <c r="BB240" s="462">
        <f t="shared" si="60"/>
        <v>1313456.2710684608</v>
      </c>
      <c r="BC240" s="463">
        <f t="shared" si="52"/>
        <v>0</v>
      </c>
      <c r="BD240" s="431"/>
      <c r="BE240" s="435">
        <f t="shared" si="55"/>
        <v>0</v>
      </c>
    </row>
    <row r="241" spans="1:57" ht="15">
      <c r="A241" s="415">
        <v>235</v>
      </c>
      <c r="B241" s="415">
        <v>37</v>
      </c>
      <c r="C241" t="s">
        <v>227</v>
      </c>
      <c r="D241" t="s">
        <v>855</v>
      </c>
      <c r="E241" s="364">
        <v>0</v>
      </c>
      <c r="F241" s="364">
        <v>14171.124637999732</v>
      </c>
      <c r="G241" s="369">
        <v>161946.03401399986</v>
      </c>
      <c r="H241" s="364">
        <v>-36703.063910000026</v>
      </c>
      <c r="I241" s="350">
        <f t="shared" si="57"/>
        <v>139414.09474199958</v>
      </c>
      <c r="K241" s="66">
        <f t="shared" si="58"/>
        <v>0</v>
      </c>
      <c r="L241" s="66"/>
      <c r="M241" s="415">
        <v>235</v>
      </c>
      <c r="N241" s="415">
        <v>37</v>
      </c>
      <c r="O241" s="66" t="s">
        <v>227</v>
      </c>
      <c r="P241" t="s">
        <v>855</v>
      </c>
      <c r="Q241" s="364">
        <v>-36703.063910000026</v>
      </c>
      <c r="R241" t="s">
        <v>2580</v>
      </c>
      <c r="S241" s="250"/>
      <c r="T241" s="159">
        <f t="shared" si="61"/>
        <v>0</v>
      </c>
      <c r="U241" s="250"/>
      <c r="V241" s="415">
        <v>235</v>
      </c>
      <c r="W241" t="s">
        <v>227</v>
      </c>
      <c r="X241" t="s">
        <v>855</v>
      </c>
      <c r="Y241" s="364">
        <v>-54025.385362000263</v>
      </c>
      <c r="Z241" s="364">
        <v>0</v>
      </c>
      <c r="AA241" s="369">
        <v>68196.509999999995</v>
      </c>
      <c r="AB241" s="505">
        <v>161946.03401399986</v>
      </c>
      <c r="AC241" s="350">
        <f t="shared" si="62"/>
        <v>176117.15865199961</v>
      </c>
      <c r="AG241" s="159">
        <f t="shared" si="63"/>
        <v>0</v>
      </c>
      <c r="AI241" s="442" t="s">
        <v>227</v>
      </c>
      <c r="AJ241" t="s">
        <v>855</v>
      </c>
      <c r="AK241" s="364">
        <v>0</v>
      </c>
      <c r="AL241" s="364">
        <v>0</v>
      </c>
      <c r="AM241" s="585">
        <v>14171.124637999732</v>
      </c>
      <c r="AN241" s="505">
        <v>161946.03401399986</v>
      </c>
      <c r="AO241" s="448">
        <v>14171.121673999674</v>
      </c>
      <c r="AP241" s="448">
        <v>14171.124637999732</v>
      </c>
      <c r="AQ241" s="438"/>
      <c r="AR241" s="449">
        <f t="shared" si="66"/>
        <v>176117.15865199961</v>
      </c>
      <c r="AS241" s="438"/>
      <c r="AT241" s="438"/>
      <c r="AU241" s="364">
        <v>0</v>
      </c>
      <c r="AV241" s="585">
        <v>14171.124637999732</v>
      </c>
      <c r="AW241" s="505">
        <v>161946.03401399986</v>
      </c>
      <c r="AX241" s="452">
        <f t="shared" si="59"/>
        <v>176117.15865199961</v>
      </c>
      <c r="AY241" s="250">
        <f t="shared" si="64"/>
        <v>0</v>
      </c>
      <c r="AZ241" s="439"/>
      <c r="BA241" s="582">
        <v>-36703.063910000026</v>
      </c>
      <c r="BB241" s="462">
        <f t="shared" si="60"/>
        <v>139414.09474199958</v>
      </c>
      <c r="BC241" s="463">
        <f t="shared" si="52"/>
        <v>0</v>
      </c>
      <c r="BD241" s="431"/>
      <c r="BE241" s="435">
        <f t="shared" si="55"/>
        <v>0</v>
      </c>
    </row>
    <row r="242" spans="1:57" ht="15">
      <c r="A242" s="415">
        <v>236</v>
      </c>
      <c r="B242" s="415">
        <v>5</v>
      </c>
      <c r="C242" t="s">
        <v>171</v>
      </c>
      <c r="D242" t="s">
        <v>831</v>
      </c>
      <c r="E242" s="364">
        <v>-94322.305059999984</v>
      </c>
      <c r="F242" s="364">
        <v>-60769.374959999972</v>
      </c>
      <c r="G242" s="369">
        <v>1013.336903999967</v>
      </c>
      <c r="H242" s="364">
        <v>-20417.48036300001</v>
      </c>
      <c r="I242" s="350">
        <f t="shared" si="57"/>
        <v>-174495.82347900001</v>
      </c>
      <c r="K242" s="66">
        <f t="shared" si="58"/>
        <v>0</v>
      </c>
      <c r="L242" s="66"/>
      <c r="M242" s="415">
        <v>236</v>
      </c>
      <c r="N242" s="415">
        <v>5</v>
      </c>
      <c r="O242" s="66" t="s">
        <v>171</v>
      </c>
      <c r="P242" t="s">
        <v>831</v>
      </c>
      <c r="Q242" s="364">
        <v>-20417.48036300001</v>
      </c>
      <c r="R242" t="s">
        <v>2580</v>
      </c>
      <c r="S242" s="250"/>
      <c r="T242" s="159">
        <f t="shared" si="61"/>
        <v>0</v>
      </c>
      <c r="U242" s="250"/>
      <c r="V242" s="415">
        <v>236</v>
      </c>
      <c r="W242" t="s">
        <v>171</v>
      </c>
      <c r="X242" t="s">
        <v>831</v>
      </c>
      <c r="Y242" s="364">
        <v>-34050.782236999999</v>
      </c>
      <c r="Z242" s="364">
        <v>-94322.305059999984</v>
      </c>
      <c r="AA242" s="369">
        <v>-60769.374959999972</v>
      </c>
      <c r="AB242" s="505">
        <v>1013.336903999967</v>
      </c>
      <c r="AC242" s="350">
        <f t="shared" si="62"/>
        <v>-188129.12535300001</v>
      </c>
      <c r="AG242" s="159">
        <f t="shared" si="63"/>
        <v>0</v>
      </c>
      <c r="AI242" s="442" t="s">
        <v>171</v>
      </c>
      <c r="AJ242" t="s">
        <v>831</v>
      </c>
      <c r="AK242" s="364">
        <v>0</v>
      </c>
      <c r="AL242" s="364">
        <v>-94322.305059999984</v>
      </c>
      <c r="AM242" s="369">
        <v>-60769.374959999972</v>
      </c>
      <c r="AN242" s="505">
        <v>1013.336903999967</v>
      </c>
      <c r="AO242" s="448">
        <v>-287695.63225699996</v>
      </c>
      <c r="AP242" s="448"/>
      <c r="AQ242" s="438"/>
      <c r="AR242" s="449">
        <f t="shared" si="66"/>
        <v>-154078.343116</v>
      </c>
      <c r="AS242" s="438"/>
      <c r="AT242" s="438"/>
      <c r="AU242" s="364">
        <v>-94322.305059999984</v>
      </c>
      <c r="AV242" s="369">
        <v>-60769.374959999972</v>
      </c>
      <c r="AW242" s="505">
        <v>1013.336903999967</v>
      </c>
      <c r="AX242" s="452">
        <f t="shared" si="59"/>
        <v>-154078.343116</v>
      </c>
      <c r="AY242" s="250">
        <f t="shared" si="64"/>
        <v>0</v>
      </c>
      <c r="AZ242" s="439"/>
      <c r="BA242" s="582">
        <v>-20417.48036300001</v>
      </c>
      <c r="BB242" s="462">
        <f t="shared" si="60"/>
        <v>-174495.82347900001</v>
      </c>
      <c r="BC242" s="463">
        <f t="shared" si="52"/>
        <v>0</v>
      </c>
      <c r="BD242" s="431"/>
      <c r="BE242" s="435">
        <f t="shared" si="55"/>
        <v>0</v>
      </c>
    </row>
    <row r="243" spans="1:57" ht="15">
      <c r="A243" s="415">
        <v>237</v>
      </c>
      <c r="B243" s="415">
        <v>257</v>
      </c>
      <c r="C243" t="s">
        <v>616</v>
      </c>
      <c r="D243" t="s">
        <v>1026</v>
      </c>
      <c r="E243" s="364">
        <v>0</v>
      </c>
      <c r="F243" s="364">
        <v>0</v>
      </c>
      <c r="G243" s="369">
        <v>-35545.450151999947</v>
      </c>
      <c r="H243" s="364">
        <v>-88903.15607999987</v>
      </c>
      <c r="I243" s="350">
        <f t="shared" si="57"/>
        <v>-124448.60623199982</v>
      </c>
      <c r="K243" s="66">
        <f t="shared" si="58"/>
        <v>0</v>
      </c>
      <c r="L243" s="66"/>
      <c r="M243" s="415">
        <v>237</v>
      </c>
      <c r="N243" s="415">
        <v>257</v>
      </c>
      <c r="O243" s="66" t="s">
        <v>616</v>
      </c>
      <c r="P243" t="s">
        <v>1026</v>
      </c>
      <c r="Q243" s="364">
        <v>-88903.15607999987</v>
      </c>
      <c r="R243" t="s">
        <v>2580</v>
      </c>
      <c r="S243" s="250"/>
      <c r="T243" s="159">
        <f t="shared" si="61"/>
        <v>0</v>
      </c>
      <c r="U243" s="250"/>
      <c r="V243" s="415">
        <v>237</v>
      </c>
      <c r="W243" t="s">
        <v>616</v>
      </c>
      <c r="X243" t="s">
        <v>1026</v>
      </c>
      <c r="Y243" s="364">
        <v>-99214.160899999988</v>
      </c>
      <c r="Z243" s="364">
        <v>0</v>
      </c>
      <c r="AA243" s="369">
        <v>0</v>
      </c>
      <c r="AB243" s="505">
        <v>-35545.450151999947</v>
      </c>
      <c r="AC243" s="350">
        <f t="shared" si="62"/>
        <v>-134759.61105199993</v>
      </c>
      <c r="AG243" s="159">
        <f t="shared" si="63"/>
        <v>0</v>
      </c>
      <c r="AI243" s="442" t="s">
        <v>616</v>
      </c>
      <c r="AJ243" t="s">
        <v>1026</v>
      </c>
      <c r="AK243" s="364">
        <v>0</v>
      </c>
      <c r="AL243" s="364">
        <v>0</v>
      </c>
      <c r="AM243" s="369">
        <v>0</v>
      </c>
      <c r="AN243" s="505">
        <v>-35545.450151999947</v>
      </c>
      <c r="AO243" s="448">
        <v>-155423.31655600001</v>
      </c>
      <c r="AP243" s="448"/>
      <c r="AQ243" s="438"/>
      <c r="AR243" s="449">
        <f t="shared" si="66"/>
        <v>-35545.450151999947</v>
      </c>
      <c r="AS243" s="438"/>
      <c r="AT243" s="438"/>
      <c r="AU243" s="364">
        <v>0</v>
      </c>
      <c r="AV243" s="369">
        <v>0</v>
      </c>
      <c r="AW243" s="505">
        <v>-35545.450151999947</v>
      </c>
      <c r="AX243" s="452">
        <f t="shared" ref="AX243:AX248" si="67">SUM(AU243:AW243)</f>
        <v>-35545.450151999947</v>
      </c>
      <c r="AY243" s="250">
        <f t="shared" si="64"/>
        <v>0</v>
      </c>
      <c r="AZ243" s="439"/>
      <c r="BA243" s="582">
        <v>-88903.15607999987</v>
      </c>
      <c r="BB243" s="462">
        <f t="shared" si="60"/>
        <v>-124448.60623199982</v>
      </c>
      <c r="BC243" s="463">
        <f t="shared" si="52"/>
        <v>0</v>
      </c>
      <c r="BD243" s="431"/>
      <c r="BE243" s="435">
        <f t="shared" si="55"/>
        <v>0</v>
      </c>
    </row>
    <row r="244" spans="1:57" ht="15">
      <c r="A244" s="415">
        <v>238</v>
      </c>
      <c r="B244" s="415">
        <v>107</v>
      </c>
      <c r="C244" t="s">
        <v>358</v>
      </c>
      <c r="D244" t="s">
        <v>916</v>
      </c>
      <c r="E244" s="364">
        <v>-78968.891994999722</v>
      </c>
      <c r="F244" s="364">
        <v>-167953.46703999976</v>
      </c>
      <c r="G244" s="369">
        <v>-429192.95203000004</v>
      </c>
      <c r="H244" s="364">
        <v>-440729.40136399982</v>
      </c>
      <c r="I244" s="350">
        <f t="shared" si="57"/>
        <v>-1116844.7124289994</v>
      </c>
      <c r="K244" s="66">
        <f t="shared" si="58"/>
        <v>0</v>
      </c>
      <c r="L244" s="66"/>
      <c r="M244" s="415">
        <v>238</v>
      </c>
      <c r="N244" s="415">
        <v>107</v>
      </c>
      <c r="O244" s="66" t="s">
        <v>358</v>
      </c>
      <c r="P244" t="s">
        <v>916</v>
      </c>
      <c r="Q244" s="364">
        <v>-440729.40136399982</v>
      </c>
      <c r="R244" t="s">
        <v>2580</v>
      </c>
      <c r="S244" s="250"/>
      <c r="T244" s="159">
        <f t="shared" si="61"/>
        <v>0</v>
      </c>
      <c r="U244" s="250"/>
      <c r="V244" s="415">
        <v>238</v>
      </c>
      <c r="W244" t="s">
        <v>358</v>
      </c>
      <c r="X244" t="s">
        <v>916</v>
      </c>
      <c r="Y244" s="364">
        <v>-574907.32105999999</v>
      </c>
      <c r="Z244" s="364">
        <v>-78968.891994999722</v>
      </c>
      <c r="AA244" s="369">
        <v>-167953.46703999976</v>
      </c>
      <c r="AB244" s="505">
        <v>-429192.95203000004</v>
      </c>
      <c r="AC244" s="350">
        <f t="shared" si="62"/>
        <v>-1251022.6321249995</v>
      </c>
      <c r="AG244" s="159">
        <f t="shared" si="63"/>
        <v>0</v>
      </c>
      <c r="AI244" s="442" t="s">
        <v>358</v>
      </c>
      <c r="AJ244" t="s">
        <v>916</v>
      </c>
      <c r="AK244" s="364">
        <v>0</v>
      </c>
      <c r="AL244" s="364">
        <v>-78968.891994999722</v>
      </c>
      <c r="AM244" s="369">
        <v>-167953.46703999976</v>
      </c>
      <c r="AN244" s="505">
        <v>-429192.95203000004</v>
      </c>
      <c r="AO244" s="448">
        <v>-1186262.7500949996</v>
      </c>
      <c r="AP244" s="448"/>
      <c r="AQ244" s="438"/>
      <c r="AR244" s="449">
        <f t="shared" si="66"/>
        <v>-676115.31106499955</v>
      </c>
      <c r="AS244" s="438"/>
      <c r="AT244" s="438"/>
      <c r="AU244" s="364">
        <v>-78968.891994999722</v>
      </c>
      <c r="AV244" s="369">
        <v>-167953.46703999976</v>
      </c>
      <c r="AW244" s="505">
        <v>-429192.95203000004</v>
      </c>
      <c r="AX244" s="452">
        <f t="shared" si="67"/>
        <v>-676115.31106499955</v>
      </c>
      <c r="AY244" s="250">
        <f t="shared" si="64"/>
        <v>0</v>
      </c>
      <c r="AZ244" s="439"/>
      <c r="BA244" s="582">
        <v>-440729.40136399982</v>
      </c>
      <c r="BB244" s="462">
        <f t="shared" si="60"/>
        <v>-1116844.7124289994</v>
      </c>
      <c r="BC244" s="463">
        <f t="shared" ref="BC244:BC307" si="68">+BB244-I244</f>
        <v>0</v>
      </c>
      <c r="BD244" s="431"/>
      <c r="BE244" s="435">
        <f t="shared" si="55"/>
        <v>0</v>
      </c>
    </row>
    <row r="245" spans="1:57" ht="15">
      <c r="A245" s="415">
        <v>239</v>
      </c>
      <c r="B245" s="415">
        <v>280</v>
      </c>
      <c r="C245" t="s">
        <v>652</v>
      </c>
      <c r="D245" t="s">
        <v>1043</v>
      </c>
      <c r="E245" s="364">
        <v>263885.79281799978</v>
      </c>
      <c r="F245" s="364">
        <v>175823.57701600002</v>
      </c>
      <c r="G245" s="369">
        <v>122644.29980099993</v>
      </c>
      <c r="H245" s="364">
        <v>2455.1896999999881</v>
      </c>
      <c r="I245" s="350">
        <f t="shared" si="57"/>
        <v>564808.8593349997</v>
      </c>
      <c r="K245" s="66">
        <f t="shared" si="58"/>
        <v>0</v>
      </c>
      <c r="L245" s="66"/>
      <c r="M245" s="415">
        <v>239</v>
      </c>
      <c r="N245" s="415">
        <v>280</v>
      </c>
      <c r="O245" s="66" t="s">
        <v>652</v>
      </c>
      <c r="P245" t="s">
        <v>1043</v>
      </c>
      <c r="Q245" s="364">
        <v>2455.1896999999881</v>
      </c>
      <c r="R245" t="s">
        <v>2580</v>
      </c>
      <c r="S245" s="250"/>
      <c r="T245" s="159">
        <f t="shared" si="61"/>
        <v>0</v>
      </c>
      <c r="U245" s="250"/>
      <c r="V245" s="415">
        <v>239</v>
      </c>
      <c r="W245" t="s">
        <v>652</v>
      </c>
      <c r="X245" t="s">
        <v>1043</v>
      </c>
      <c r="Y245" s="364">
        <v>58085.972594000006</v>
      </c>
      <c r="Z245" s="364">
        <v>205799.82022399979</v>
      </c>
      <c r="AA245" s="369">
        <v>175823.57701600002</v>
      </c>
      <c r="AB245" s="505">
        <v>122644.29980099993</v>
      </c>
      <c r="AC245" s="350">
        <f t="shared" si="62"/>
        <v>562353.66963499971</v>
      </c>
      <c r="AG245" s="159">
        <f t="shared" si="63"/>
        <v>0</v>
      </c>
      <c r="AI245" s="442" t="s">
        <v>652</v>
      </c>
      <c r="AJ245" t="s">
        <v>1043</v>
      </c>
      <c r="AK245" s="364">
        <v>0</v>
      </c>
      <c r="AL245" s="448">
        <v>263885.79281799978</v>
      </c>
      <c r="AM245" s="369">
        <v>175823.57701600002</v>
      </c>
      <c r="AN245" s="505">
        <v>122644.29980099993</v>
      </c>
      <c r="AO245" s="448">
        <v>439709.36983399978</v>
      </c>
      <c r="AP245" s="448">
        <v>263885.79281799978</v>
      </c>
      <c r="AQ245" s="438"/>
      <c r="AR245" s="449">
        <f t="shared" si="66"/>
        <v>562353.66963499971</v>
      </c>
      <c r="AS245" s="438"/>
      <c r="AT245" s="438"/>
      <c r="AU245" s="448">
        <v>263885.79281799978</v>
      </c>
      <c r="AV245" s="369">
        <v>175823.57701600002</v>
      </c>
      <c r="AW245" s="505">
        <v>122644.29980099993</v>
      </c>
      <c r="AX245" s="452">
        <f t="shared" si="67"/>
        <v>562353.66963499971</v>
      </c>
      <c r="AY245" s="250">
        <f t="shared" si="64"/>
        <v>0</v>
      </c>
      <c r="AZ245" s="439"/>
      <c r="BA245" s="582">
        <v>2455.1896999999881</v>
      </c>
      <c r="BB245" s="462">
        <f t="shared" si="60"/>
        <v>564808.8593349997</v>
      </c>
      <c r="BC245" s="463">
        <f t="shared" si="68"/>
        <v>0</v>
      </c>
      <c r="BD245" s="431"/>
      <c r="BE245" s="435">
        <f t="shared" si="55"/>
        <v>0</v>
      </c>
    </row>
    <row r="246" spans="1:57" ht="15">
      <c r="A246" s="415">
        <v>240</v>
      </c>
      <c r="B246" s="415">
        <v>146</v>
      </c>
      <c r="C246" s="339" t="s">
        <v>408</v>
      </c>
      <c r="D246" s="340" t="s">
        <v>409</v>
      </c>
      <c r="E246" s="372">
        <v>0</v>
      </c>
      <c r="F246" s="363">
        <v>0</v>
      </c>
      <c r="G246" s="369">
        <v>-937.46</v>
      </c>
      <c r="H246" s="364">
        <v>-1456.67</v>
      </c>
      <c r="I246" s="350">
        <f t="shared" si="57"/>
        <v>-2394.13</v>
      </c>
      <c r="K246" s="66">
        <f t="shared" si="58"/>
        <v>0</v>
      </c>
      <c r="L246" s="66"/>
      <c r="M246" s="415">
        <v>240</v>
      </c>
      <c r="N246" s="415">
        <v>146</v>
      </c>
      <c r="O246" s="414" t="s">
        <v>408</v>
      </c>
      <c r="P246" s="340" t="s">
        <v>409</v>
      </c>
      <c r="Q246" s="364">
        <v>-1456.67</v>
      </c>
      <c r="R246" t="s">
        <v>2580</v>
      </c>
      <c r="S246" s="250"/>
      <c r="T246" s="159">
        <f t="shared" si="61"/>
        <v>0</v>
      </c>
      <c r="U246" s="250"/>
      <c r="V246" s="415">
        <v>240</v>
      </c>
      <c r="W246" s="339" t="s">
        <v>408</v>
      </c>
      <c r="X246" s="340" t="s">
        <v>409</v>
      </c>
      <c r="Y246" s="372">
        <v>0</v>
      </c>
      <c r="Z246" s="363"/>
      <c r="AA246" s="369"/>
      <c r="AB246" s="505">
        <v>-937.46</v>
      </c>
      <c r="AC246" s="350">
        <f t="shared" si="62"/>
        <v>-937.46</v>
      </c>
      <c r="AG246" s="159">
        <f t="shared" si="63"/>
        <v>0</v>
      </c>
      <c r="AI246" s="442" t="s">
        <v>408</v>
      </c>
      <c r="AJ246" s="340" t="s">
        <v>409</v>
      </c>
      <c r="AK246" s="372">
        <v>0</v>
      </c>
      <c r="AL246" s="363"/>
      <c r="AM246" s="369"/>
      <c r="AN246" s="505">
        <v>-937.46</v>
      </c>
      <c r="AO246" s="448">
        <v>0</v>
      </c>
      <c r="AP246" s="448"/>
      <c r="AQ246" s="438"/>
      <c r="AR246" s="449">
        <f t="shared" si="66"/>
        <v>-937.46</v>
      </c>
      <c r="AS246" s="438"/>
      <c r="AT246" s="438"/>
      <c r="AU246" s="364">
        <v>0</v>
      </c>
      <c r="AV246" s="364">
        <v>0</v>
      </c>
      <c r="AW246" s="505">
        <v>-937.46</v>
      </c>
      <c r="AX246" s="452">
        <f t="shared" si="67"/>
        <v>-937.46</v>
      </c>
      <c r="AY246" s="250">
        <f t="shared" si="64"/>
        <v>0</v>
      </c>
      <c r="AZ246" s="439"/>
      <c r="BA246" s="582">
        <v>-1456.67</v>
      </c>
      <c r="BB246" s="462">
        <f t="shared" si="60"/>
        <v>-2394.13</v>
      </c>
      <c r="BC246" s="463">
        <f t="shared" si="68"/>
        <v>0</v>
      </c>
      <c r="BD246" s="431"/>
      <c r="BE246" s="435">
        <f t="shared" si="55"/>
        <v>0</v>
      </c>
    </row>
    <row r="247" spans="1:57" ht="15" customHeight="1">
      <c r="A247" s="415">
        <v>241</v>
      </c>
      <c r="B247" s="415">
        <v>40</v>
      </c>
      <c r="C247" s="425" t="s">
        <v>2307</v>
      </c>
      <c r="D247" s="426" t="s">
        <v>2391</v>
      </c>
      <c r="E247" s="372">
        <v>0</v>
      </c>
      <c r="F247" s="363">
        <v>0</v>
      </c>
      <c r="G247" s="369">
        <v>-1311.67</v>
      </c>
      <c r="H247" s="364">
        <v>-7719.1594349999996</v>
      </c>
      <c r="I247" s="350">
        <f t="shared" si="57"/>
        <v>-9030.8294349999996</v>
      </c>
      <c r="K247" s="66">
        <f t="shared" si="58"/>
        <v>0</v>
      </c>
      <c r="L247" s="66"/>
      <c r="M247" s="415">
        <v>241</v>
      </c>
      <c r="N247" s="415">
        <v>40</v>
      </c>
      <c r="O247" s="66" t="s">
        <v>2307</v>
      </c>
      <c r="P247" s="426" t="s">
        <v>2391</v>
      </c>
      <c r="Q247" s="364">
        <v>-7719.1594349999996</v>
      </c>
      <c r="R247" t="s">
        <v>2580</v>
      </c>
      <c r="S247" s="250"/>
      <c r="T247" s="159">
        <f t="shared" si="61"/>
        <v>0</v>
      </c>
      <c r="U247" s="250"/>
      <c r="V247" s="415">
        <v>241</v>
      </c>
      <c r="W247" s="425" t="s">
        <v>2307</v>
      </c>
      <c r="X247" s="426" t="s">
        <v>2391</v>
      </c>
      <c r="Y247" s="372"/>
      <c r="Z247" s="363"/>
      <c r="AA247" s="369"/>
      <c r="AB247" s="505">
        <v>-1311.67</v>
      </c>
      <c r="AC247" s="350"/>
      <c r="AG247" s="159"/>
      <c r="AI247" s="442"/>
      <c r="AJ247" s="426" t="s">
        <v>2391</v>
      </c>
      <c r="AK247" s="372">
        <v>0</v>
      </c>
      <c r="AL247" s="363"/>
      <c r="AM247" s="369"/>
      <c r="AN247" s="505">
        <v>-1311.67</v>
      </c>
      <c r="AO247" s="448"/>
      <c r="AP247" s="448"/>
      <c r="AQ247" s="438"/>
      <c r="AR247" s="449">
        <f t="shared" si="66"/>
        <v>-1311.67</v>
      </c>
      <c r="AS247" s="438"/>
      <c r="AT247" s="438"/>
      <c r="AU247" s="364">
        <v>0</v>
      </c>
      <c r="AV247" s="364">
        <v>0</v>
      </c>
      <c r="AW247" s="505">
        <v>-1311.67</v>
      </c>
      <c r="AX247" s="452">
        <f t="shared" si="67"/>
        <v>-1311.67</v>
      </c>
      <c r="AY247" s="250">
        <f t="shared" si="64"/>
        <v>0</v>
      </c>
      <c r="AZ247" s="439"/>
      <c r="BA247" s="582">
        <v>-7719.1594349999996</v>
      </c>
      <c r="BB247" s="462">
        <f t="shared" si="60"/>
        <v>-9030.8294349999996</v>
      </c>
      <c r="BC247" s="463">
        <f t="shared" si="68"/>
        <v>0</v>
      </c>
      <c r="BD247" s="431"/>
      <c r="BE247" s="435">
        <f t="shared" si="55"/>
        <v>0</v>
      </c>
    </row>
    <row r="248" spans="1:57" ht="15">
      <c r="A248" s="415">
        <v>242</v>
      </c>
      <c r="B248" s="415">
        <v>311</v>
      </c>
      <c r="C248" t="s">
        <v>705</v>
      </c>
      <c r="D248" t="s">
        <v>1066</v>
      </c>
      <c r="E248" s="373">
        <v>-19978.076143999991</v>
      </c>
      <c r="F248" s="364">
        <v>-14465.273208999988</v>
      </c>
      <c r="G248" s="369">
        <v>-20168.790135999967</v>
      </c>
      <c r="H248" s="364">
        <v>-37988.083199999994</v>
      </c>
      <c r="I248" s="350">
        <f t="shared" si="57"/>
        <v>-92600.222688999944</v>
      </c>
      <c r="K248" s="66">
        <f t="shared" si="58"/>
        <v>0</v>
      </c>
      <c r="L248" s="66"/>
      <c r="M248" s="415">
        <v>242</v>
      </c>
      <c r="N248" s="415">
        <v>311</v>
      </c>
      <c r="O248" s="66" t="s">
        <v>705</v>
      </c>
      <c r="P248" t="s">
        <v>1066</v>
      </c>
      <c r="Q248" s="364">
        <v>-37988.083199999994</v>
      </c>
      <c r="R248" t="s">
        <v>2580</v>
      </c>
      <c r="S248" s="250"/>
      <c r="T248" s="159">
        <f t="shared" si="61"/>
        <v>0</v>
      </c>
      <c r="U248" s="250"/>
      <c r="V248" s="415">
        <v>242</v>
      </c>
      <c r="W248" t="s">
        <v>705</v>
      </c>
      <c r="X248" t="s">
        <v>1066</v>
      </c>
      <c r="Y248" s="373">
        <v>-19951.080036000047</v>
      </c>
      <c r="Z248" s="364">
        <v>-19978.076143999991</v>
      </c>
      <c r="AA248" s="369">
        <v>-14465.273208999988</v>
      </c>
      <c r="AB248" s="505">
        <v>-20168.790135999967</v>
      </c>
      <c r="AC248" s="350">
        <f t="shared" ref="AC248:AC279" si="69">SUM(Y248:AB248)</f>
        <v>-74563.219524999993</v>
      </c>
      <c r="AG248" s="159">
        <f t="shared" ref="AG248:AG279" si="70">+AI248-W248</f>
        <v>0</v>
      </c>
      <c r="AI248" s="442" t="s">
        <v>705</v>
      </c>
      <c r="AJ248" t="s">
        <v>1066</v>
      </c>
      <c r="AK248" s="373">
        <v>0</v>
      </c>
      <c r="AL248" s="364">
        <v>-19978.076143999991</v>
      </c>
      <c r="AM248" s="369">
        <v>-14465.273208999988</v>
      </c>
      <c r="AN248" s="505">
        <v>-20168.790135999967</v>
      </c>
      <c r="AO248" s="448">
        <v>-85434.899389000027</v>
      </c>
      <c r="AP248" s="448"/>
      <c r="AQ248" s="438"/>
      <c r="AR248" s="449">
        <f t="shared" si="66"/>
        <v>-54612.13948899995</v>
      </c>
      <c r="AS248" s="438"/>
      <c r="AT248" s="438"/>
      <c r="AU248" s="364">
        <v>-19978.076143999991</v>
      </c>
      <c r="AV248" s="369">
        <v>-14465.273208999988</v>
      </c>
      <c r="AW248" s="505">
        <v>-20168.790135999967</v>
      </c>
      <c r="AX248" s="452">
        <f t="shared" si="67"/>
        <v>-54612.13948899995</v>
      </c>
      <c r="AY248" s="250">
        <f t="shared" si="64"/>
        <v>0</v>
      </c>
      <c r="AZ248" s="439"/>
      <c r="BA248" s="582">
        <v>-37988.083199999994</v>
      </c>
      <c r="BB248" s="462">
        <f t="shared" si="60"/>
        <v>-92600.222688999944</v>
      </c>
      <c r="BC248" s="463">
        <f t="shared" si="68"/>
        <v>0</v>
      </c>
      <c r="BD248" s="431"/>
      <c r="BE248" s="435">
        <f t="shared" si="55"/>
        <v>0</v>
      </c>
    </row>
    <row r="249" spans="1:57" ht="15">
      <c r="A249" s="415">
        <v>243</v>
      </c>
      <c r="B249" s="415">
        <v>71</v>
      </c>
      <c r="C249" t="s">
        <v>287</v>
      </c>
      <c r="D249" t="s">
        <v>882</v>
      </c>
      <c r="E249" s="373">
        <v>0</v>
      </c>
      <c r="F249" s="364">
        <v>0</v>
      </c>
      <c r="G249" s="369">
        <v>26617.403268356444</v>
      </c>
      <c r="H249" s="364">
        <v>160874.72356700012</v>
      </c>
      <c r="I249" s="350">
        <f t="shared" si="57"/>
        <v>187492.12683535658</v>
      </c>
      <c r="K249" s="66">
        <f t="shared" si="58"/>
        <v>0</v>
      </c>
      <c r="L249" s="66"/>
      <c r="M249" s="415">
        <v>243</v>
      </c>
      <c r="N249" s="415">
        <v>71</v>
      </c>
      <c r="O249" s="66" t="s">
        <v>287</v>
      </c>
      <c r="P249" t="s">
        <v>882</v>
      </c>
      <c r="Q249" s="364">
        <v>160874.72356700012</v>
      </c>
      <c r="R249" t="s">
        <v>2580</v>
      </c>
      <c r="S249" s="250"/>
      <c r="T249" s="159">
        <f t="shared" si="61"/>
        <v>0</v>
      </c>
      <c r="U249" s="250"/>
      <c r="V249" s="415">
        <v>243</v>
      </c>
      <c r="W249" t="s">
        <v>287</v>
      </c>
      <c r="X249" t="s">
        <v>882</v>
      </c>
      <c r="Y249" s="373">
        <v>-192748.99807764377</v>
      </c>
      <c r="Z249" s="364">
        <v>7647.24</v>
      </c>
      <c r="AA249" s="369">
        <v>88087.528395999994</v>
      </c>
      <c r="AB249" s="505">
        <v>123631.63295000023</v>
      </c>
      <c r="AC249" s="350">
        <f t="shared" si="69"/>
        <v>26617.403268356444</v>
      </c>
      <c r="AG249" s="159">
        <f t="shared" si="70"/>
        <v>0</v>
      </c>
      <c r="AI249" s="442" t="s">
        <v>287</v>
      </c>
      <c r="AJ249" t="s">
        <v>882</v>
      </c>
      <c r="AK249" s="372">
        <v>0</v>
      </c>
      <c r="AL249" s="372">
        <v>0</v>
      </c>
      <c r="AM249" s="372">
        <v>0</v>
      </c>
      <c r="AN249" s="585">
        <v>26617.403268356444</v>
      </c>
      <c r="AO249" s="448">
        <v>-97014.230545643528</v>
      </c>
      <c r="AP249" s="450">
        <v>26617.403268356444</v>
      </c>
      <c r="AQ249" s="438"/>
      <c r="AR249" s="449">
        <f t="shared" ref="AR249:AR280" si="71">SUM(AL249:AN249)</f>
        <v>26617.403268356444</v>
      </c>
      <c r="AS249" s="438"/>
      <c r="AT249" s="438"/>
      <c r="AU249" s="372">
        <v>0</v>
      </c>
      <c r="AV249" s="372">
        <v>0</v>
      </c>
      <c r="AW249" s="585">
        <v>26617.403268356444</v>
      </c>
      <c r="AX249" s="452">
        <f t="shared" ref="AX249:AX280" si="72">SUM(AU249:AW249)</f>
        <v>26617.403268356444</v>
      </c>
      <c r="AY249" s="250">
        <f t="shared" si="64"/>
        <v>0</v>
      </c>
      <c r="AZ249" s="439"/>
      <c r="BA249" s="582">
        <v>160874.72356700012</v>
      </c>
      <c r="BB249" s="462">
        <f t="shared" si="60"/>
        <v>187492.12683535658</v>
      </c>
      <c r="BC249" s="463">
        <f t="shared" si="68"/>
        <v>0</v>
      </c>
      <c r="BD249" s="431"/>
      <c r="BE249" s="435">
        <f t="shared" si="55"/>
        <v>0</v>
      </c>
    </row>
    <row r="250" spans="1:57" ht="15">
      <c r="A250" s="415">
        <v>244</v>
      </c>
      <c r="B250" s="415">
        <v>217</v>
      </c>
      <c r="C250" t="s">
        <v>541</v>
      </c>
      <c r="D250" t="s">
        <v>1619</v>
      </c>
      <c r="E250" s="373">
        <v>-99080.271149999928</v>
      </c>
      <c r="F250" s="364">
        <v>-130473.12811499994</v>
      </c>
      <c r="G250" s="369">
        <v>-151817.69678599999</v>
      </c>
      <c r="H250" s="364">
        <v>-201140.67797700007</v>
      </c>
      <c r="I250" s="350">
        <f t="shared" si="57"/>
        <v>-582511.77402799996</v>
      </c>
      <c r="K250" s="66">
        <f t="shared" si="58"/>
        <v>0</v>
      </c>
      <c r="L250" s="66"/>
      <c r="M250" s="415">
        <v>244</v>
      </c>
      <c r="N250" s="415">
        <v>217</v>
      </c>
      <c r="O250" s="66" t="s">
        <v>541</v>
      </c>
      <c r="P250" t="s">
        <v>1619</v>
      </c>
      <c r="Q250" s="364">
        <v>-201140.67797700007</v>
      </c>
      <c r="R250" t="s">
        <v>2580</v>
      </c>
      <c r="S250" s="250"/>
      <c r="T250" s="159">
        <f t="shared" si="61"/>
        <v>0</v>
      </c>
      <c r="U250" s="250"/>
      <c r="V250" s="415">
        <v>244</v>
      </c>
      <c r="W250" t="s">
        <v>541</v>
      </c>
      <c r="X250" t="s">
        <v>1619</v>
      </c>
      <c r="Y250" s="373">
        <v>-149452.19531399992</v>
      </c>
      <c r="Z250" s="364">
        <v>-99080.271149999928</v>
      </c>
      <c r="AA250" s="369">
        <v>-130473.12811499994</v>
      </c>
      <c r="AB250" s="505">
        <v>-151817.69678599999</v>
      </c>
      <c r="AC250" s="350">
        <f t="shared" si="69"/>
        <v>-530823.29136499972</v>
      </c>
      <c r="AG250" s="159">
        <f t="shared" si="70"/>
        <v>0</v>
      </c>
      <c r="AI250" s="442" t="s">
        <v>541</v>
      </c>
      <c r="AJ250" t="s">
        <v>1619</v>
      </c>
      <c r="AK250" s="372">
        <v>0</v>
      </c>
      <c r="AL250" s="364">
        <v>-99080.271149999928</v>
      </c>
      <c r="AM250" s="369">
        <v>-130473.12811499994</v>
      </c>
      <c r="AN250" s="505">
        <v>-151817.69678599999</v>
      </c>
      <c r="AO250" s="448">
        <v>-509361.15457899985</v>
      </c>
      <c r="AP250" s="448"/>
      <c r="AQ250" s="438"/>
      <c r="AR250" s="449">
        <f t="shared" si="71"/>
        <v>-381371.09605099983</v>
      </c>
      <c r="AS250" s="438"/>
      <c r="AT250" s="438"/>
      <c r="AU250" s="364">
        <v>-99080.271149999928</v>
      </c>
      <c r="AV250" s="369">
        <v>-130473.12811499994</v>
      </c>
      <c r="AW250" s="505">
        <v>-151817.69678599999</v>
      </c>
      <c r="AX250" s="452">
        <f t="shared" si="72"/>
        <v>-381371.09605099983</v>
      </c>
      <c r="AY250" s="250">
        <f t="shared" si="64"/>
        <v>0</v>
      </c>
      <c r="AZ250" s="439"/>
      <c r="BA250" s="582">
        <v>-201140.67797700007</v>
      </c>
      <c r="BB250" s="462">
        <f t="shared" si="60"/>
        <v>-582511.77402799996</v>
      </c>
      <c r="BC250" s="463">
        <f t="shared" si="68"/>
        <v>0</v>
      </c>
      <c r="BD250" s="431"/>
      <c r="BE250" s="435">
        <f t="shared" si="55"/>
        <v>0</v>
      </c>
    </row>
    <row r="251" spans="1:57" ht="15">
      <c r="A251" s="415">
        <v>245</v>
      </c>
      <c r="B251" s="415">
        <v>85</v>
      </c>
      <c r="C251" t="s">
        <v>314</v>
      </c>
      <c r="D251" t="s">
        <v>895</v>
      </c>
      <c r="E251" s="373">
        <v>-30701.7804</v>
      </c>
      <c r="F251" s="364">
        <v>-61760.512143999993</v>
      </c>
      <c r="G251" s="369">
        <v>-71380.898078999977</v>
      </c>
      <c r="H251" s="364">
        <v>-48238.745913999977</v>
      </c>
      <c r="I251" s="350">
        <f t="shared" si="57"/>
        <v>-212081.93653699994</v>
      </c>
      <c r="K251" s="66">
        <f t="shared" si="58"/>
        <v>0</v>
      </c>
      <c r="L251" s="66"/>
      <c r="M251" s="415">
        <v>245</v>
      </c>
      <c r="N251" s="415">
        <v>85</v>
      </c>
      <c r="O251" s="66" t="s">
        <v>314</v>
      </c>
      <c r="P251" t="s">
        <v>895</v>
      </c>
      <c r="Q251" s="364">
        <v>-48238.745913999977</v>
      </c>
      <c r="R251" t="s">
        <v>2580</v>
      </c>
      <c r="S251" s="250"/>
      <c r="T251" s="159">
        <f t="shared" si="61"/>
        <v>0</v>
      </c>
      <c r="U251" s="250"/>
      <c r="V251" s="415">
        <v>245</v>
      </c>
      <c r="W251" t="s">
        <v>314</v>
      </c>
      <c r="X251" t="s">
        <v>895</v>
      </c>
      <c r="Y251" s="373">
        <v>-21458.096560000002</v>
      </c>
      <c r="Z251" s="364">
        <v>-30701.7804</v>
      </c>
      <c r="AA251" s="369">
        <v>-61760.512143999993</v>
      </c>
      <c r="AB251" s="505">
        <v>-71380.898078999977</v>
      </c>
      <c r="AC251" s="350">
        <f t="shared" si="69"/>
        <v>-185301.28718299998</v>
      </c>
      <c r="AG251" s="159">
        <f t="shared" si="70"/>
        <v>0</v>
      </c>
      <c r="AI251" s="442" t="s">
        <v>314</v>
      </c>
      <c r="AJ251" t="s">
        <v>895</v>
      </c>
      <c r="AK251" s="372">
        <v>0</v>
      </c>
      <c r="AL251" s="364">
        <v>-30701.7804</v>
      </c>
      <c r="AM251" s="369">
        <v>-61760.512143999993</v>
      </c>
      <c r="AN251" s="505">
        <v>-71380.898078999977</v>
      </c>
      <c r="AO251" s="448">
        <v>-137721.609104</v>
      </c>
      <c r="AP251" s="448"/>
      <c r="AQ251" s="438"/>
      <c r="AR251" s="449">
        <f t="shared" si="71"/>
        <v>-163843.19062299997</v>
      </c>
      <c r="AS251" s="438"/>
      <c r="AT251" s="438"/>
      <c r="AU251" s="364">
        <v>-30701.7804</v>
      </c>
      <c r="AV251" s="369">
        <v>-61760.512143999993</v>
      </c>
      <c r="AW251" s="505">
        <v>-71380.898078999977</v>
      </c>
      <c r="AX251" s="452">
        <f t="shared" si="72"/>
        <v>-163843.19062299997</v>
      </c>
      <c r="AY251" s="250">
        <f t="shared" si="64"/>
        <v>0</v>
      </c>
      <c r="AZ251" s="439"/>
      <c r="BA251" s="582">
        <v>-48238.745913999977</v>
      </c>
      <c r="BB251" s="462">
        <f t="shared" si="60"/>
        <v>-212081.93653699994</v>
      </c>
      <c r="BC251" s="463">
        <f t="shared" si="68"/>
        <v>0</v>
      </c>
      <c r="BD251" s="431"/>
      <c r="BE251" s="435">
        <f t="shared" si="55"/>
        <v>0</v>
      </c>
    </row>
    <row r="252" spans="1:57" ht="15">
      <c r="A252" s="415">
        <v>246</v>
      </c>
      <c r="B252" s="415">
        <v>97</v>
      </c>
      <c r="C252" t="s">
        <v>338</v>
      </c>
      <c r="D252" t="s">
        <v>906</v>
      </c>
      <c r="E252" s="373">
        <v>0</v>
      </c>
      <c r="F252" s="364">
        <v>-1870452.9653209841</v>
      </c>
      <c r="G252" s="369">
        <v>-3708117.7462330051</v>
      </c>
      <c r="H252" s="364">
        <v>-5267957.0581186377</v>
      </c>
      <c r="I252" s="350">
        <f t="shared" si="57"/>
        <v>-10846527.769672627</v>
      </c>
      <c r="K252" s="66">
        <f t="shared" si="58"/>
        <v>0</v>
      </c>
      <c r="L252" s="66"/>
      <c r="M252" s="415">
        <v>246</v>
      </c>
      <c r="N252" s="415">
        <v>97</v>
      </c>
      <c r="O252" s="66" t="s">
        <v>338</v>
      </c>
      <c r="P252" t="s">
        <v>906</v>
      </c>
      <c r="Q252" s="364">
        <v>-5267957.0581186377</v>
      </c>
      <c r="R252" t="s">
        <v>2580</v>
      </c>
      <c r="S252" s="250"/>
      <c r="T252" s="159">
        <f t="shared" si="61"/>
        <v>0</v>
      </c>
      <c r="U252" s="250"/>
      <c r="V252" s="415">
        <v>246</v>
      </c>
      <c r="W252" t="s">
        <v>338</v>
      </c>
      <c r="X252" t="s">
        <v>906</v>
      </c>
      <c r="Y252" s="373">
        <v>0</v>
      </c>
      <c r="Z252" s="364">
        <v>0</v>
      </c>
      <c r="AA252" s="369">
        <v>-1870452.9653209841</v>
      </c>
      <c r="AB252" s="505">
        <v>-3708117.7462330051</v>
      </c>
      <c r="AC252" s="350">
        <f t="shared" si="69"/>
        <v>-5578570.711553989</v>
      </c>
      <c r="AG252" s="159">
        <f t="shared" si="70"/>
        <v>0</v>
      </c>
      <c r="AI252" s="442" t="s">
        <v>338</v>
      </c>
      <c r="AJ252" t="s">
        <v>906</v>
      </c>
      <c r="AK252" s="372">
        <v>0</v>
      </c>
      <c r="AL252" s="364">
        <v>0</v>
      </c>
      <c r="AM252" s="369">
        <v>-1870452.9653209841</v>
      </c>
      <c r="AN252" s="505">
        <v>-3708117.7462330051</v>
      </c>
      <c r="AO252" s="448">
        <v>-5949759.8053209838</v>
      </c>
      <c r="AP252" s="448"/>
      <c r="AQ252" s="438"/>
      <c r="AR252" s="449">
        <f t="shared" si="71"/>
        <v>-5578570.711553989</v>
      </c>
      <c r="AS252" s="438"/>
      <c r="AT252" s="438"/>
      <c r="AU252" s="364">
        <v>0</v>
      </c>
      <c r="AV252" s="369">
        <v>-1870452.9653209841</v>
      </c>
      <c r="AW252" s="505">
        <v>-3708117.7462330051</v>
      </c>
      <c r="AX252" s="452">
        <f t="shared" si="72"/>
        <v>-5578570.711553989</v>
      </c>
      <c r="AY252" s="250">
        <f t="shared" si="64"/>
        <v>0</v>
      </c>
      <c r="AZ252" s="439"/>
      <c r="BA252" s="582">
        <v>-5267957.0581186377</v>
      </c>
      <c r="BB252" s="462">
        <f t="shared" si="60"/>
        <v>-10846527.769672627</v>
      </c>
      <c r="BC252" s="463">
        <f t="shared" si="68"/>
        <v>0</v>
      </c>
      <c r="BD252" s="431"/>
      <c r="BE252" s="435">
        <f t="shared" ref="BE252:BE315" si="73">+O252-C252</f>
        <v>0</v>
      </c>
    </row>
    <row r="253" spans="1:57" ht="15">
      <c r="A253" s="415">
        <v>247</v>
      </c>
      <c r="B253" s="415">
        <v>220</v>
      </c>
      <c r="C253" t="s">
        <v>546</v>
      </c>
      <c r="D253" t="s">
        <v>998</v>
      </c>
      <c r="E253" s="373">
        <v>41358.251470310643</v>
      </c>
      <c r="F253" s="364">
        <v>228172.61822816703</v>
      </c>
      <c r="G253" s="369">
        <v>-215550.71315300046</v>
      </c>
      <c r="H253" s="364">
        <v>-110895.4122154261</v>
      </c>
      <c r="I253" s="350">
        <f t="shared" si="57"/>
        <v>-56915.255669948878</v>
      </c>
      <c r="K253" s="66">
        <f t="shared" si="58"/>
        <v>0</v>
      </c>
      <c r="L253" s="66"/>
      <c r="M253" s="415">
        <v>247</v>
      </c>
      <c r="N253" s="415">
        <v>220</v>
      </c>
      <c r="O253" s="66" t="s">
        <v>546</v>
      </c>
      <c r="P253" t="s">
        <v>998</v>
      </c>
      <c r="Q253" s="364">
        <v>-110895.4122154261</v>
      </c>
      <c r="R253" t="s">
        <v>2580</v>
      </c>
      <c r="S253" s="250"/>
      <c r="T253" s="159">
        <f t="shared" si="61"/>
        <v>0</v>
      </c>
      <c r="U253" s="250"/>
      <c r="V253" s="415">
        <v>247</v>
      </c>
      <c r="W253" t="s">
        <v>546</v>
      </c>
      <c r="X253" t="s">
        <v>998</v>
      </c>
      <c r="Y253" s="373">
        <v>0</v>
      </c>
      <c r="Z253" s="364">
        <v>41358.251470310643</v>
      </c>
      <c r="AA253" s="369">
        <v>228172.61822816703</v>
      </c>
      <c r="AB253" s="505">
        <v>-215550.71315300046</v>
      </c>
      <c r="AC253" s="350">
        <f t="shared" si="69"/>
        <v>53980.156545477221</v>
      </c>
      <c r="AG253" s="159">
        <f t="shared" si="70"/>
        <v>0</v>
      </c>
      <c r="AI253" s="442" t="s">
        <v>546</v>
      </c>
      <c r="AJ253" t="s">
        <v>998</v>
      </c>
      <c r="AK253" s="372">
        <v>0</v>
      </c>
      <c r="AL253" s="364">
        <v>41358.251470310643</v>
      </c>
      <c r="AM253" s="369">
        <v>228172.61822816703</v>
      </c>
      <c r="AN253" s="505">
        <v>-215550.71315300046</v>
      </c>
      <c r="AO253" s="448">
        <v>269530.86969847768</v>
      </c>
      <c r="AP253" s="450">
        <f>+AK253+AL253+AM253</f>
        <v>269530.86969847768</v>
      </c>
      <c r="AQ253" s="438"/>
      <c r="AR253" s="449">
        <f t="shared" si="71"/>
        <v>53980.156545477221</v>
      </c>
      <c r="AS253" s="438"/>
      <c r="AT253" s="438"/>
      <c r="AU253" s="364">
        <v>41358.251470310643</v>
      </c>
      <c r="AV253" s="369">
        <v>228172.61822816703</v>
      </c>
      <c r="AW253" s="505">
        <v>-215550.71315300046</v>
      </c>
      <c r="AX253" s="452">
        <f t="shared" si="72"/>
        <v>53980.156545477221</v>
      </c>
      <c r="AY253" s="250">
        <f t="shared" si="64"/>
        <v>0</v>
      </c>
      <c r="AZ253" s="439"/>
      <c r="BA253" s="582">
        <v>-110895.4122154261</v>
      </c>
      <c r="BB253" s="462">
        <f t="shared" si="60"/>
        <v>-56915.255669948878</v>
      </c>
      <c r="BC253" s="463">
        <f t="shared" si="68"/>
        <v>0</v>
      </c>
      <c r="BD253" s="431"/>
      <c r="BE253" s="435">
        <f t="shared" si="73"/>
        <v>0</v>
      </c>
    </row>
    <row r="254" spans="1:57" ht="15">
      <c r="A254" s="415">
        <v>248</v>
      </c>
      <c r="B254" s="415">
        <v>318</v>
      </c>
      <c r="C254" t="s">
        <v>718</v>
      </c>
      <c r="D254" t="s">
        <v>1071</v>
      </c>
      <c r="E254" s="373">
        <v>543544.77749199932</v>
      </c>
      <c r="F254" s="364">
        <v>108108.66157000029</v>
      </c>
      <c r="G254" s="369">
        <v>206979.82237199973</v>
      </c>
      <c r="H254" s="364">
        <v>-292463.86206399975</v>
      </c>
      <c r="I254" s="350">
        <f t="shared" si="57"/>
        <v>566169.39936999953</v>
      </c>
      <c r="K254" s="66">
        <f t="shared" si="58"/>
        <v>0</v>
      </c>
      <c r="L254" s="66"/>
      <c r="M254" s="415">
        <v>248</v>
      </c>
      <c r="N254" s="415">
        <v>318</v>
      </c>
      <c r="O254" s="66" t="s">
        <v>718</v>
      </c>
      <c r="P254" t="s">
        <v>1071</v>
      </c>
      <c r="Q254" s="364">
        <v>-292463.86206399975</v>
      </c>
      <c r="R254" t="s">
        <v>2580</v>
      </c>
      <c r="S254" s="250"/>
      <c r="T254" s="159">
        <f t="shared" si="61"/>
        <v>0</v>
      </c>
      <c r="U254" s="250"/>
      <c r="V254" s="415">
        <v>248</v>
      </c>
      <c r="W254" t="s">
        <v>718</v>
      </c>
      <c r="X254" t="s">
        <v>1071</v>
      </c>
      <c r="Y254" s="373">
        <v>477952.61122999963</v>
      </c>
      <c r="Z254" s="364">
        <v>65592.166261999635</v>
      </c>
      <c r="AA254" s="369">
        <v>108108.66157000029</v>
      </c>
      <c r="AB254" s="505">
        <v>206979.82237199973</v>
      </c>
      <c r="AC254" s="350">
        <f t="shared" si="69"/>
        <v>858633.26143399929</v>
      </c>
      <c r="AG254" s="159">
        <f t="shared" si="70"/>
        <v>0</v>
      </c>
      <c r="AI254" s="442" t="s">
        <v>718</v>
      </c>
      <c r="AJ254" t="s">
        <v>1071</v>
      </c>
      <c r="AK254" s="373">
        <v>0</v>
      </c>
      <c r="AL254" s="585">
        <v>543544.77749199932</v>
      </c>
      <c r="AM254" s="369">
        <v>108108.66157000029</v>
      </c>
      <c r="AN254" s="505">
        <v>206979.82237199973</v>
      </c>
      <c r="AO254" s="448">
        <v>651653.43906199955</v>
      </c>
      <c r="AP254" s="448">
        <v>543544.77749199932</v>
      </c>
      <c r="AQ254" s="438"/>
      <c r="AR254" s="449">
        <f t="shared" si="71"/>
        <v>858633.26143399929</v>
      </c>
      <c r="AS254" s="438"/>
      <c r="AT254" s="438"/>
      <c r="AU254" s="585">
        <v>543544.77749199932</v>
      </c>
      <c r="AV254" s="369">
        <v>108108.66157000029</v>
      </c>
      <c r="AW254" s="505">
        <v>206979.82237199973</v>
      </c>
      <c r="AX254" s="452">
        <f t="shared" si="72"/>
        <v>858633.26143399929</v>
      </c>
      <c r="AY254" s="250">
        <f t="shared" si="64"/>
        <v>0</v>
      </c>
      <c r="AZ254" s="439"/>
      <c r="BA254" s="582">
        <v>-292463.86206399975</v>
      </c>
      <c r="BB254" s="462">
        <f t="shared" si="60"/>
        <v>566169.39936999953</v>
      </c>
      <c r="BC254" s="463">
        <f t="shared" si="68"/>
        <v>0</v>
      </c>
      <c r="BD254" s="431"/>
      <c r="BE254" s="435">
        <f t="shared" si="73"/>
        <v>0</v>
      </c>
    </row>
    <row r="255" spans="1:57" ht="15">
      <c r="A255" s="415">
        <v>249</v>
      </c>
      <c r="B255" s="415">
        <v>195</v>
      </c>
      <c r="C255" t="s">
        <v>503</v>
      </c>
      <c r="D255" t="s">
        <v>981</v>
      </c>
      <c r="E255" s="373">
        <v>-92117.626439999993</v>
      </c>
      <c r="F255" s="364">
        <v>-95225.18925499999</v>
      </c>
      <c r="G255" s="369">
        <v>-118048.57708799996</v>
      </c>
      <c r="H255" s="364">
        <v>-167228.28597500004</v>
      </c>
      <c r="I255" s="350">
        <f t="shared" si="57"/>
        <v>-472619.67875800002</v>
      </c>
      <c r="K255" s="66">
        <f t="shared" si="58"/>
        <v>0</v>
      </c>
      <c r="L255" s="66"/>
      <c r="M255" s="415">
        <v>249</v>
      </c>
      <c r="N255" s="415">
        <v>195</v>
      </c>
      <c r="O255" s="66" t="s">
        <v>503</v>
      </c>
      <c r="P255" t="s">
        <v>981</v>
      </c>
      <c r="Q255" s="364">
        <v>-167228.28597500004</v>
      </c>
      <c r="R255" t="s">
        <v>2580</v>
      </c>
      <c r="S255" s="250"/>
      <c r="T255" s="159">
        <f t="shared" si="61"/>
        <v>0</v>
      </c>
      <c r="U255" s="250"/>
      <c r="V255" s="415">
        <v>249</v>
      </c>
      <c r="W255" t="s">
        <v>503</v>
      </c>
      <c r="X255" t="s">
        <v>981</v>
      </c>
      <c r="Y255" s="373">
        <v>-98379.251505000051</v>
      </c>
      <c r="Z255" s="364">
        <v>-92117.626439999993</v>
      </c>
      <c r="AA255" s="369">
        <v>-95225.18925499999</v>
      </c>
      <c r="AB255" s="505">
        <v>-118048.57708799996</v>
      </c>
      <c r="AC255" s="350">
        <f t="shared" si="69"/>
        <v>-403770.64428800001</v>
      </c>
      <c r="AG255" s="159">
        <f t="shared" si="70"/>
        <v>0</v>
      </c>
      <c r="AI255" s="442" t="s">
        <v>503</v>
      </c>
      <c r="AJ255" t="s">
        <v>981</v>
      </c>
      <c r="AK255" s="373">
        <v>0</v>
      </c>
      <c r="AL255" s="364">
        <v>-92117.626439999993</v>
      </c>
      <c r="AM255" s="369">
        <v>-95225.18925499999</v>
      </c>
      <c r="AN255" s="505">
        <v>-118048.57708799996</v>
      </c>
      <c r="AO255" s="448">
        <v>-386440.58720000007</v>
      </c>
      <c r="AP255" s="448"/>
      <c r="AQ255" s="438"/>
      <c r="AR255" s="449">
        <f t="shared" si="71"/>
        <v>-305391.39278299996</v>
      </c>
      <c r="AS255" s="438"/>
      <c r="AT255" s="438"/>
      <c r="AU255" s="364">
        <v>-92117.626439999993</v>
      </c>
      <c r="AV255" s="369">
        <v>-95225.18925499999</v>
      </c>
      <c r="AW255" s="505">
        <v>-118048.57708799996</v>
      </c>
      <c r="AX255" s="452">
        <f t="shared" si="72"/>
        <v>-305391.39278299996</v>
      </c>
      <c r="AY255" s="250">
        <f t="shared" si="64"/>
        <v>0</v>
      </c>
      <c r="AZ255" s="439"/>
      <c r="BA255" s="582">
        <v>-167228.28597500004</v>
      </c>
      <c r="BB255" s="462">
        <f t="shared" si="60"/>
        <v>-472619.67875800002</v>
      </c>
      <c r="BC255" s="463">
        <f t="shared" si="68"/>
        <v>0</v>
      </c>
      <c r="BD255" s="431"/>
      <c r="BE255" s="435">
        <f t="shared" si="73"/>
        <v>0</v>
      </c>
    </row>
    <row r="256" spans="1:57" ht="15">
      <c r="A256" s="415">
        <v>250</v>
      </c>
      <c r="B256" s="415">
        <v>25</v>
      </c>
      <c r="C256" t="s">
        <v>207</v>
      </c>
      <c r="D256" t="s">
        <v>846</v>
      </c>
      <c r="E256" s="373">
        <v>157922.74543300009</v>
      </c>
      <c r="F256" s="364">
        <v>-216440.45271000022</v>
      </c>
      <c r="G256" s="369">
        <v>-218526.85040700005</v>
      </c>
      <c r="H256" s="364">
        <v>-172307.26858899998</v>
      </c>
      <c r="I256" s="350">
        <f t="shared" si="57"/>
        <v>-449351.82627300016</v>
      </c>
      <c r="K256" s="66">
        <f t="shared" si="58"/>
        <v>0</v>
      </c>
      <c r="L256" s="66"/>
      <c r="M256" s="415">
        <v>250</v>
      </c>
      <c r="N256" s="415">
        <v>25</v>
      </c>
      <c r="O256" s="66" t="s">
        <v>207</v>
      </c>
      <c r="P256" t="s">
        <v>846</v>
      </c>
      <c r="Q256" s="364">
        <v>-172307.26858899998</v>
      </c>
      <c r="R256" t="s">
        <v>2580</v>
      </c>
      <c r="S256" s="250"/>
      <c r="T256" s="159">
        <f t="shared" si="61"/>
        <v>0</v>
      </c>
      <c r="U256" s="250"/>
      <c r="V256" s="415">
        <v>250</v>
      </c>
      <c r="W256" t="s">
        <v>207</v>
      </c>
      <c r="X256" t="s">
        <v>846</v>
      </c>
      <c r="Y256" s="373">
        <v>15252.501104999974</v>
      </c>
      <c r="Z256" s="364">
        <v>142670.24432800012</v>
      </c>
      <c r="AA256" s="369">
        <v>-216440.45271000022</v>
      </c>
      <c r="AB256" s="505">
        <v>-218526.85040700005</v>
      </c>
      <c r="AC256" s="350">
        <f t="shared" si="69"/>
        <v>-277044.55768400017</v>
      </c>
      <c r="AG256" s="159">
        <f t="shared" si="70"/>
        <v>0</v>
      </c>
      <c r="AI256" s="442" t="s">
        <v>207</v>
      </c>
      <c r="AJ256" t="s">
        <v>846</v>
      </c>
      <c r="AK256" s="373">
        <v>0</v>
      </c>
      <c r="AL256" s="585">
        <v>157922.74543300009</v>
      </c>
      <c r="AM256" s="369">
        <v>-216440.45271000022</v>
      </c>
      <c r="AN256" s="505">
        <v>-218526.85040700005</v>
      </c>
      <c r="AO256" s="448">
        <v>-58517.707277000125</v>
      </c>
      <c r="AP256" s="448">
        <v>157922.74543300009</v>
      </c>
      <c r="AQ256" s="438"/>
      <c r="AR256" s="449">
        <f t="shared" si="71"/>
        <v>-277044.55768400017</v>
      </c>
      <c r="AS256" s="438"/>
      <c r="AT256" s="438"/>
      <c r="AU256" s="585">
        <v>157922.74543300009</v>
      </c>
      <c r="AV256" s="369">
        <v>-216440.45271000022</v>
      </c>
      <c r="AW256" s="505">
        <v>-218526.85040700005</v>
      </c>
      <c r="AX256" s="452">
        <f t="shared" si="72"/>
        <v>-277044.55768400017</v>
      </c>
      <c r="AY256" s="250">
        <f t="shared" si="64"/>
        <v>0</v>
      </c>
      <c r="AZ256" s="439"/>
      <c r="BA256" s="582">
        <v>-172307.26858899998</v>
      </c>
      <c r="BB256" s="462">
        <f t="shared" si="60"/>
        <v>-449351.82627300016</v>
      </c>
      <c r="BC256" s="463">
        <f t="shared" si="68"/>
        <v>0</v>
      </c>
      <c r="BD256" s="431"/>
      <c r="BE256" s="435">
        <f t="shared" si="73"/>
        <v>0</v>
      </c>
    </row>
    <row r="257" spans="1:57" ht="15">
      <c r="A257" s="415">
        <v>251</v>
      </c>
      <c r="B257" s="415">
        <v>214</v>
      </c>
      <c r="C257" s="339" t="s">
        <v>535</v>
      </c>
      <c r="D257" s="340" t="s">
        <v>536</v>
      </c>
      <c r="E257" s="372"/>
      <c r="F257" s="363"/>
      <c r="G257" s="369">
        <v>0</v>
      </c>
      <c r="H257" s="364"/>
      <c r="I257" s="350">
        <f t="shared" si="57"/>
        <v>0</v>
      </c>
      <c r="K257" s="66">
        <f t="shared" si="58"/>
        <v>0</v>
      </c>
      <c r="L257" s="66"/>
      <c r="M257" s="415">
        <v>251</v>
      </c>
      <c r="N257" s="415">
        <v>214</v>
      </c>
      <c r="O257" s="339" t="s">
        <v>535</v>
      </c>
      <c r="P257" s="340" t="s">
        <v>536</v>
      </c>
      <c r="Q257" s="364"/>
      <c r="R257" t="s">
        <v>2580</v>
      </c>
      <c r="S257" s="250"/>
      <c r="T257" s="159">
        <f t="shared" si="61"/>
        <v>0</v>
      </c>
      <c r="U257" s="250"/>
      <c r="V257" s="415">
        <v>251</v>
      </c>
      <c r="W257" s="339" t="s">
        <v>535</v>
      </c>
      <c r="X257" s="340" t="s">
        <v>536</v>
      </c>
      <c r="Y257" s="372">
        <v>0</v>
      </c>
      <c r="Z257" s="363"/>
      <c r="AA257" s="369"/>
      <c r="AB257" s="505">
        <v>0</v>
      </c>
      <c r="AC257" s="350">
        <f t="shared" si="69"/>
        <v>0</v>
      </c>
      <c r="AG257" s="159">
        <f t="shared" si="70"/>
        <v>0</v>
      </c>
      <c r="AI257" s="442" t="s">
        <v>535</v>
      </c>
      <c r="AJ257" s="340" t="s">
        <v>536</v>
      </c>
      <c r="AK257" s="372">
        <v>0</v>
      </c>
      <c r="AL257" s="363"/>
      <c r="AM257" s="369"/>
      <c r="AN257" s="505">
        <v>0</v>
      </c>
      <c r="AO257" s="448">
        <v>0</v>
      </c>
      <c r="AP257" s="448"/>
      <c r="AQ257" s="438"/>
      <c r="AR257" s="449">
        <f t="shared" si="71"/>
        <v>0</v>
      </c>
      <c r="AS257" s="438"/>
      <c r="AT257" s="438"/>
      <c r="AU257" s="363"/>
      <c r="AV257" s="369"/>
      <c r="AW257" s="505">
        <v>0</v>
      </c>
      <c r="AX257" s="452">
        <f t="shared" si="72"/>
        <v>0</v>
      </c>
      <c r="AY257" s="250">
        <f t="shared" si="64"/>
        <v>0</v>
      </c>
      <c r="AZ257" s="439"/>
      <c r="BA257" s="582"/>
      <c r="BB257" s="462">
        <f t="shared" si="60"/>
        <v>0</v>
      </c>
      <c r="BC257" s="463">
        <f t="shared" si="68"/>
        <v>0</v>
      </c>
      <c r="BD257" s="431"/>
      <c r="BE257" s="435">
        <f t="shared" si="73"/>
        <v>0</v>
      </c>
    </row>
    <row r="258" spans="1:57" ht="15">
      <c r="A258" s="415">
        <v>252</v>
      </c>
      <c r="B258" s="415">
        <v>173</v>
      </c>
      <c r="C258" t="s">
        <v>462</v>
      </c>
      <c r="D258" t="s">
        <v>960</v>
      </c>
      <c r="E258" s="364">
        <v>1085438.4976435748</v>
      </c>
      <c r="F258" s="364">
        <v>310829.49709983252</v>
      </c>
      <c r="G258" s="369">
        <v>130834.10921600088</v>
      </c>
      <c r="H258" s="364">
        <v>104571.7663371996</v>
      </c>
      <c r="I258" s="350">
        <f t="shared" si="57"/>
        <v>1631673.8702966077</v>
      </c>
      <c r="K258" s="66">
        <f t="shared" si="58"/>
        <v>0</v>
      </c>
      <c r="L258" s="66"/>
      <c r="M258" s="415">
        <v>252</v>
      </c>
      <c r="N258" s="415">
        <v>173</v>
      </c>
      <c r="O258" s="66" t="s">
        <v>462</v>
      </c>
      <c r="P258" t="s">
        <v>960</v>
      </c>
      <c r="Q258" s="364">
        <v>104571.7663371996</v>
      </c>
      <c r="R258" t="s">
        <v>2580</v>
      </c>
      <c r="S258" s="250"/>
      <c r="T258" s="159">
        <f t="shared" si="61"/>
        <v>0</v>
      </c>
      <c r="U258" s="250"/>
      <c r="V258" s="415">
        <v>252</v>
      </c>
      <c r="W258" t="s">
        <v>462</v>
      </c>
      <c r="X258" t="s">
        <v>960</v>
      </c>
      <c r="Y258" s="364">
        <v>396680.43309817603</v>
      </c>
      <c r="Z258" s="364">
        <v>688758.06454539881</v>
      </c>
      <c r="AA258" s="369">
        <v>310829.49709983252</v>
      </c>
      <c r="AB258" s="505">
        <v>130834.10921600088</v>
      </c>
      <c r="AC258" s="350">
        <f t="shared" si="69"/>
        <v>1527102.1039594081</v>
      </c>
      <c r="AG258" s="159">
        <f t="shared" si="70"/>
        <v>0</v>
      </c>
      <c r="AI258" s="442" t="s">
        <v>462</v>
      </c>
      <c r="AJ258" t="s">
        <v>960</v>
      </c>
      <c r="AK258" s="364">
        <v>0</v>
      </c>
      <c r="AL258" s="585">
        <v>1085438.4976435748</v>
      </c>
      <c r="AM258" s="369">
        <v>310829.49709983252</v>
      </c>
      <c r="AN258" s="505">
        <v>130834.10921600088</v>
      </c>
      <c r="AO258" s="448">
        <v>1396267.9947434072</v>
      </c>
      <c r="AP258" s="464">
        <v>1085438.4976435748</v>
      </c>
      <c r="AQ258" s="438"/>
      <c r="AR258" s="449">
        <f t="shared" si="71"/>
        <v>1527102.1039594081</v>
      </c>
      <c r="AS258" s="438"/>
      <c r="AT258" s="438"/>
      <c r="AU258" s="585">
        <v>1085438.4976435748</v>
      </c>
      <c r="AV258" s="369">
        <v>310829.49709983252</v>
      </c>
      <c r="AW258" s="505">
        <v>130834.10921600088</v>
      </c>
      <c r="AX258" s="452">
        <f t="shared" si="72"/>
        <v>1527102.1039594081</v>
      </c>
      <c r="AY258" s="250">
        <f t="shared" si="64"/>
        <v>0</v>
      </c>
      <c r="AZ258" s="439"/>
      <c r="BA258" s="582">
        <v>104571.7663371996</v>
      </c>
      <c r="BB258" s="462">
        <f t="shared" si="60"/>
        <v>1631673.8702966077</v>
      </c>
      <c r="BC258" s="463">
        <f t="shared" si="68"/>
        <v>0</v>
      </c>
      <c r="BD258" s="431"/>
      <c r="BE258" s="435">
        <f t="shared" si="73"/>
        <v>0</v>
      </c>
    </row>
    <row r="259" spans="1:57" ht="15">
      <c r="A259" s="415">
        <v>253</v>
      </c>
      <c r="B259" s="415">
        <v>112</v>
      </c>
      <c r="C259" t="s">
        <v>366</v>
      </c>
      <c r="D259" t="s">
        <v>921</v>
      </c>
      <c r="E259" s="364">
        <v>0</v>
      </c>
      <c r="F259" s="364">
        <v>0</v>
      </c>
      <c r="G259" s="369">
        <v>-439495.66410799976</v>
      </c>
      <c r="H259" s="364">
        <v>-285701.54277724493</v>
      </c>
      <c r="I259" s="350">
        <f t="shared" si="57"/>
        <v>-725197.2068852447</v>
      </c>
      <c r="K259" s="66">
        <f t="shared" si="58"/>
        <v>0</v>
      </c>
      <c r="L259" s="66"/>
      <c r="M259" s="415">
        <v>253</v>
      </c>
      <c r="N259" s="415">
        <v>112</v>
      </c>
      <c r="O259" s="66" t="s">
        <v>366</v>
      </c>
      <c r="P259" t="s">
        <v>921</v>
      </c>
      <c r="Q259" s="364">
        <v>-285701.54277724493</v>
      </c>
      <c r="R259" t="s">
        <v>2580</v>
      </c>
      <c r="S259" s="250"/>
      <c r="T259" s="159">
        <f t="shared" si="61"/>
        <v>0</v>
      </c>
      <c r="U259" s="250"/>
      <c r="V259" s="415">
        <v>253</v>
      </c>
      <c r="W259" t="s">
        <v>366</v>
      </c>
      <c r="X259" t="s">
        <v>921</v>
      </c>
      <c r="Y259" s="364">
        <v>0</v>
      </c>
      <c r="Z259" s="364">
        <v>0</v>
      </c>
      <c r="AA259" s="369">
        <v>0</v>
      </c>
      <c r="AB259" s="505">
        <v>-439495.66410799976</v>
      </c>
      <c r="AC259" s="350">
        <f t="shared" si="69"/>
        <v>-439495.66410799976</v>
      </c>
      <c r="AG259" s="159">
        <f t="shared" si="70"/>
        <v>0</v>
      </c>
      <c r="AI259" s="442" t="s">
        <v>366</v>
      </c>
      <c r="AJ259" t="s">
        <v>921</v>
      </c>
      <c r="AK259" s="364">
        <v>0</v>
      </c>
      <c r="AL259" s="364">
        <v>0</v>
      </c>
      <c r="AM259" s="369">
        <v>0</v>
      </c>
      <c r="AN259" s="505">
        <v>-439495.66410799976</v>
      </c>
      <c r="AO259" s="448">
        <v>-274328.6746683871</v>
      </c>
      <c r="AP259" s="450">
        <v>0</v>
      </c>
      <c r="AQ259" s="438"/>
      <c r="AR259" s="449">
        <f t="shared" si="71"/>
        <v>-439495.66410799976</v>
      </c>
      <c r="AS259" s="438"/>
      <c r="AT259" s="438"/>
      <c r="AU259" s="364">
        <v>0</v>
      </c>
      <c r="AV259" s="369">
        <v>0</v>
      </c>
      <c r="AW259" s="505">
        <v>-439495.66410799976</v>
      </c>
      <c r="AX259" s="452">
        <f t="shared" si="72"/>
        <v>-439495.66410799976</v>
      </c>
      <c r="AY259" s="250">
        <f t="shared" si="64"/>
        <v>0</v>
      </c>
      <c r="AZ259" s="439"/>
      <c r="BA259" s="582">
        <v>-285701.54277724493</v>
      </c>
      <c r="BB259" s="462">
        <f t="shared" si="60"/>
        <v>-725197.2068852447</v>
      </c>
      <c r="BC259" s="463">
        <f t="shared" si="68"/>
        <v>0</v>
      </c>
      <c r="BD259" s="431"/>
      <c r="BE259" s="435">
        <f t="shared" si="73"/>
        <v>0</v>
      </c>
    </row>
    <row r="260" spans="1:57" ht="15">
      <c r="A260" s="415">
        <v>254</v>
      </c>
      <c r="B260" s="415">
        <v>226</v>
      </c>
      <c r="C260" t="s">
        <v>556</v>
      </c>
      <c r="D260" t="s">
        <v>1002</v>
      </c>
      <c r="E260" s="364">
        <v>-51014.796050000012</v>
      </c>
      <c r="F260" s="364">
        <v>-78278.155970000022</v>
      </c>
      <c r="G260" s="369">
        <v>-71773.424785999989</v>
      </c>
      <c r="H260" s="364">
        <v>-76142.451492000022</v>
      </c>
      <c r="I260" s="350">
        <f t="shared" si="57"/>
        <v>-277208.82829800004</v>
      </c>
      <c r="K260" s="66">
        <f t="shared" si="58"/>
        <v>0</v>
      </c>
      <c r="L260" s="66"/>
      <c r="M260" s="415">
        <v>254</v>
      </c>
      <c r="N260" s="415">
        <v>226</v>
      </c>
      <c r="O260" s="66" t="s">
        <v>556</v>
      </c>
      <c r="P260" t="s">
        <v>1002</v>
      </c>
      <c r="Q260" s="364">
        <v>-76142.451492000022</v>
      </c>
      <c r="R260" t="s">
        <v>2580</v>
      </c>
      <c r="S260" s="250"/>
      <c r="T260" s="159">
        <f t="shared" si="61"/>
        <v>0</v>
      </c>
      <c r="U260" s="250"/>
      <c r="V260" s="415">
        <v>254</v>
      </c>
      <c r="W260" t="s">
        <v>556</v>
      </c>
      <c r="X260" t="s">
        <v>1002</v>
      </c>
      <c r="Y260" s="364">
        <v>-55487.455696000005</v>
      </c>
      <c r="Z260" s="364">
        <v>-51014.796050000012</v>
      </c>
      <c r="AA260" s="369">
        <v>-78278.155970000022</v>
      </c>
      <c r="AB260" s="505">
        <v>-71773.424785999989</v>
      </c>
      <c r="AC260" s="350">
        <f t="shared" si="69"/>
        <v>-256553.83250200003</v>
      </c>
      <c r="AG260" s="159">
        <f t="shared" si="70"/>
        <v>0</v>
      </c>
      <c r="AI260" s="442" t="s">
        <v>556</v>
      </c>
      <c r="AJ260" t="s">
        <v>1002</v>
      </c>
      <c r="AK260" s="364">
        <v>0</v>
      </c>
      <c r="AL260" s="364">
        <v>-51014.796050000012</v>
      </c>
      <c r="AM260" s="369">
        <v>-78278.155970000022</v>
      </c>
      <c r="AN260" s="505">
        <v>-71773.424785999989</v>
      </c>
      <c r="AO260" s="448">
        <v>-246079.36771600004</v>
      </c>
      <c r="AP260" s="448"/>
      <c r="AQ260" s="438"/>
      <c r="AR260" s="449">
        <f t="shared" si="71"/>
        <v>-201066.37680600001</v>
      </c>
      <c r="AS260" s="438"/>
      <c r="AT260" s="438"/>
      <c r="AU260" s="364">
        <v>-51014.796050000012</v>
      </c>
      <c r="AV260" s="369">
        <v>-78278.155970000022</v>
      </c>
      <c r="AW260" s="505">
        <v>-71773.424785999989</v>
      </c>
      <c r="AX260" s="452">
        <f t="shared" si="72"/>
        <v>-201066.37680600001</v>
      </c>
      <c r="AY260" s="250">
        <f t="shared" si="64"/>
        <v>0</v>
      </c>
      <c r="AZ260" s="439"/>
      <c r="BA260" s="582">
        <v>-76142.451492000022</v>
      </c>
      <c r="BB260" s="462">
        <f t="shared" si="60"/>
        <v>-277208.82829800004</v>
      </c>
      <c r="BC260" s="463">
        <f t="shared" si="68"/>
        <v>0</v>
      </c>
      <c r="BD260" s="431"/>
      <c r="BE260" s="435">
        <f t="shared" si="73"/>
        <v>0</v>
      </c>
    </row>
    <row r="261" spans="1:57" ht="15">
      <c r="A261" s="415">
        <v>255</v>
      </c>
      <c r="B261" s="415">
        <v>104</v>
      </c>
      <c r="C261" t="s">
        <v>352</v>
      </c>
      <c r="D261" t="s">
        <v>913</v>
      </c>
      <c r="E261" s="364">
        <v>-72404.951320000007</v>
      </c>
      <c r="F261" s="364">
        <v>-73162.914210000003</v>
      </c>
      <c r="G261" s="369">
        <v>-73365.013267000002</v>
      </c>
      <c r="H261" s="364">
        <v>-87011.011113999994</v>
      </c>
      <c r="I261" s="350">
        <f t="shared" si="57"/>
        <v>-305943.88991100003</v>
      </c>
      <c r="K261" s="66">
        <f t="shared" si="58"/>
        <v>0</v>
      </c>
      <c r="L261" s="66"/>
      <c r="M261" s="415">
        <v>255</v>
      </c>
      <c r="N261" s="415">
        <v>104</v>
      </c>
      <c r="O261" s="66" t="s">
        <v>352</v>
      </c>
      <c r="P261" t="s">
        <v>913</v>
      </c>
      <c r="Q261" s="364">
        <v>-87011.011113999994</v>
      </c>
      <c r="R261" t="s">
        <v>2580</v>
      </c>
      <c r="S261" s="250"/>
      <c r="T261" s="159">
        <f t="shared" si="61"/>
        <v>0</v>
      </c>
      <c r="U261" s="250"/>
      <c r="V261" s="415">
        <v>255</v>
      </c>
      <c r="W261" t="s">
        <v>352</v>
      </c>
      <c r="X261" t="s">
        <v>913</v>
      </c>
      <c r="Y261" s="364">
        <v>-52354.519844000002</v>
      </c>
      <c r="Z261" s="364">
        <v>-72404.951320000007</v>
      </c>
      <c r="AA261" s="369">
        <v>-73162.914210000003</v>
      </c>
      <c r="AB261" s="505">
        <v>-73365.013267000002</v>
      </c>
      <c r="AC261" s="350">
        <f t="shared" si="69"/>
        <v>-271287.39864100004</v>
      </c>
      <c r="AG261" s="159">
        <f t="shared" si="70"/>
        <v>0</v>
      </c>
      <c r="AI261" s="442" t="s">
        <v>352</v>
      </c>
      <c r="AJ261" t="s">
        <v>913</v>
      </c>
      <c r="AK261" s="364">
        <v>0</v>
      </c>
      <c r="AL261" s="364">
        <v>-72404.951320000007</v>
      </c>
      <c r="AM261" s="369">
        <v>-73162.914210000003</v>
      </c>
      <c r="AN261" s="505">
        <v>-73365.013267000002</v>
      </c>
      <c r="AO261" s="448">
        <v>-271876.755374</v>
      </c>
      <c r="AP261" s="448"/>
      <c r="AQ261" s="438"/>
      <c r="AR261" s="449">
        <f t="shared" si="71"/>
        <v>-218932.87879700001</v>
      </c>
      <c r="AS261" s="438"/>
      <c r="AT261" s="438"/>
      <c r="AU261" s="364">
        <v>-72404.951320000007</v>
      </c>
      <c r="AV261" s="369">
        <v>-73162.914210000003</v>
      </c>
      <c r="AW261" s="505">
        <v>-73365.013267000002</v>
      </c>
      <c r="AX261" s="452">
        <f t="shared" si="72"/>
        <v>-218932.87879700001</v>
      </c>
      <c r="AY261" s="250">
        <f t="shared" si="64"/>
        <v>0</v>
      </c>
      <c r="AZ261" s="439"/>
      <c r="BA261" s="582">
        <v>-87011.011113999994</v>
      </c>
      <c r="BB261" s="462">
        <f t="shared" si="60"/>
        <v>-305943.88991100003</v>
      </c>
      <c r="BC261" s="463">
        <f t="shared" si="68"/>
        <v>0</v>
      </c>
      <c r="BD261" s="431"/>
      <c r="BE261" s="435">
        <f t="shared" si="73"/>
        <v>0</v>
      </c>
    </row>
    <row r="262" spans="1:57" ht="15">
      <c r="A262" s="415">
        <v>256</v>
      </c>
      <c r="B262" s="415">
        <v>238</v>
      </c>
      <c r="C262" s="525" t="s">
        <v>580</v>
      </c>
      <c r="D262" s="525" t="s">
        <v>1012</v>
      </c>
      <c r="E262" s="364">
        <v>360103.86702500028</v>
      </c>
      <c r="F262" s="364">
        <v>140460.94030169991</v>
      </c>
      <c r="G262" s="369">
        <v>-83933.474256000482</v>
      </c>
      <c r="H262" s="364">
        <v>-508430.36783599947</v>
      </c>
      <c r="I262" s="350">
        <f t="shared" si="57"/>
        <v>-91799.034765299759</v>
      </c>
      <c r="K262" s="66">
        <f t="shared" si="58"/>
        <v>0</v>
      </c>
      <c r="L262" s="66"/>
      <c r="M262" s="415">
        <v>256</v>
      </c>
      <c r="N262" s="415">
        <v>238</v>
      </c>
      <c r="O262" s="66" t="s">
        <v>580</v>
      </c>
      <c r="P262" s="525" t="s">
        <v>1012</v>
      </c>
      <c r="Q262" s="364">
        <v>-508430.36783599947</v>
      </c>
      <c r="R262" t="s">
        <v>2580</v>
      </c>
      <c r="S262" s="250"/>
      <c r="T262" s="159">
        <f t="shared" si="61"/>
        <v>0</v>
      </c>
      <c r="U262" s="250"/>
      <c r="V262" s="415">
        <v>256</v>
      </c>
      <c r="W262" t="s">
        <v>580</v>
      </c>
      <c r="X262" s="525" t="s">
        <v>1012</v>
      </c>
      <c r="Y262" s="364">
        <v>0</v>
      </c>
      <c r="Z262" s="364">
        <v>360103.86702500028</v>
      </c>
      <c r="AA262" s="369">
        <v>140460.94030169991</v>
      </c>
      <c r="AB262" s="528">
        <v>-83933.474256000482</v>
      </c>
      <c r="AC262" s="350">
        <f t="shared" si="69"/>
        <v>416631.33307069971</v>
      </c>
      <c r="AG262" s="159">
        <f t="shared" si="70"/>
        <v>0</v>
      </c>
      <c r="AI262" s="442" t="s">
        <v>580</v>
      </c>
      <c r="AJ262" s="525" t="s">
        <v>1012</v>
      </c>
      <c r="AK262" s="364">
        <v>0</v>
      </c>
      <c r="AL262" s="364">
        <v>360103.86702500028</v>
      </c>
      <c r="AM262" s="369">
        <v>140460.94030169991</v>
      </c>
      <c r="AN262" s="587">
        <v>-83933.474256000482</v>
      </c>
      <c r="AO262" s="448">
        <v>500564.80732670019</v>
      </c>
      <c r="AP262" s="450">
        <f>+AK262+AL262+AM262</f>
        <v>500564.80732670019</v>
      </c>
      <c r="AQ262" s="438"/>
      <c r="AR262" s="449">
        <f t="shared" si="71"/>
        <v>416631.33307069971</v>
      </c>
      <c r="AS262" s="438"/>
      <c r="AT262" s="438"/>
      <c r="AU262" s="364">
        <v>360103.86702500028</v>
      </c>
      <c r="AV262" s="369">
        <v>140460.94030169991</v>
      </c>
      <c r="AW262" s="587">
        <v>-83933.474256000482</v>
      </c>
      <c r="AX262" s="452">
        <f t="shared" si="72"/>
        <v>416631.33307069971</v>
      </c>
      <c r="AY262" s="250">
        <f t="shared" si="64"/>
        <v>0</v>
      </c>
      <c r="AZ262" s="439"/>
      <c r="BA262" s="582">
        <v>-508430.36783599947</v>
      </c>
      <c r="BB262" s="462">
        <f t="shared" si="60"/>
        <v>-91799.034765299759</v>
      </c>
      <c r="BC262" s="463">
        <f t="shared" si="68"/>
        <v>0</v>
      </c>
      <c r="BD262" s="431"/>
      <c r="BE262" s="435">
        <f t="shared" si="73"/>
        <v>0</v>
      </c>
    </row>
    <row r="263" spans="1:57" ht="15">
      <c r="A263" s="415">
        <v>257</v>
      </c>
      <c r="B263" s="415">
        <v>110</v>
      </c>
      <c r="C263" t="s">
        <v>363</v>
      </c>
      <c r="D263" t="s">
        <v>919</v>
      </c>
      <c r="E263" s="364">
        <v>-529843.71187395277</v>
      </c>
      <c r="F263" s="364">
        <v>-781990.54889062885</v>
      </c>
      <c r="G263" s="369">
        <v>-748012.30641200067</v>
      </c>
      <c r="H263" s="364">
        <v>-993424.39908731217</v>
      </c>
      <c r="I263" s="350">
        <f t="shared" ref="I263:I326" si="74">SUM(E263:H263)</f>
        <v>-3053270.9662638945</v>
      </c>
      <c r="K263" s="66">
        <f t="shared" ref="K263:K326" si="75">+O263-C263</f>
        <v>0</v>
      </c>
      <c r="L263" s="66"/>
      <c r="M263" s="415">
        <v>257</v>
      </c>
      <c r="N263" s="415">
        <v>110</v>
      </c>
      <c r="O263" s="66" t="s">
        <v>363</v>
      </c>
      <c r="P263" t="s">
        <v>919</v>
      </c>
      <c r="Q263" s="364">
        <v>-993424.39908731217</v>
      </c>
      <c r="R263" t="s">
        <v>2580</v>
      </c>
      <c r="S263" s="250"/>
      <c r="T263" s="159">
        <f t="shared" si="61"/>
        <v>0</v>
      </c>
      <c r="U263" s="250"/>
      <c r="V263" s="415">
        <v>257</v>
      </c>
      <c r="W263" t="s">
        <v>363</v>
      </c>
      <c r="X263" t="s">
        <v>919</v>
      </c>
      <c r="Y263" s="364">
        <v>-1052956.6755058398</v>
      </c>
      <c r="Z263" s="364">
        <v>-529843.71187395277</v>
      </c>
      <c r="AA263" s="369">
        <v>-781990.54889062885</v>
      </c>
      <c r="AB263" s="505">
        <v>-748012.30641200067</v>
      </c>
      <c r="AC263" s="350">
        <f t="shared" si="69"/>
        <v>-3112803.242682422</v>
      </c>
      <c r="AG263" s="159">
        <f t="shared" si="70"/>
        <v>0</v>
      </c>
      <c r="AI263" s="442" t="s">
        <v>363</v>
      </c>
      <c r="AJ263" t="s">
        <v>919</v>
      </c>
      <c r="AK263" s="364">
        <v>0</v>
      </c>
      <c r="AL263" s="364">
        <v>-529843.71187395277</v>
      </c>
      <c r="AM263" s="369">
        <v>-781990.54889062885</v>
      </c>
      <c r="AN263" s="505">
        <v>-748012.30641200067</v>
      </c>
      <c r="AO263" s="448">
        <v>-3198807.8862704216</v>
      </c>
      <c r="AP263" s="448"/>
      <c r="AQ263" s="438"/>
      <c r="AR263" s="449">
        <f t="shared" si="71"/>
        <v>-2059846.5671765823</v>
      </c>
      <c r="AS263" s="438"/>
      <c r="AT263" s="438"/>
      <c r="AU263" s="364">
        <v>-529843.71187395277</v>
      </c>
      <c r="AV263" s="369">
        <v>-781990.54889062885</v>
      </c>
      <c r="AW263" s="505">
        <v>-748012.30641200067</v>
      </c>
      <c r="AX263" s="452">
        <f t="shared" si="72"/>
        <v>-2059846.5671765823</v>
      </c>
      <c r="AY263" s="250">
        <f t="shared" si="64"/>
        <v>0</v>
      </c>
      <c r="AZ263" s="439"/>
      <c r="BA263" s="582">
        <v>-993424.39908731217</v>
      </c>
      <c r="BB263" s="462">
        <f t="shared" ref="BB263:BB326" si="76">+BA263+AX263</f>
        <v>-3053270.9662638945</v>
      </c>
      <c r="BC263" s="463">
        <f t="shared" si="68"/>
        <v>0</v>
      </c>
      <c r="BD263" s="431"/>
      <c r="BE263" s="435">
        <f t="shared" si="73"/>
        <v>0</v>
      </c>
    </row>
    <row r="264" spans="1:57" ht="15">
      <c r="A264" s="415">
        <v>258</v>
      </c>
      <c r="B264" s="415">
        <v>70</v>
      </c>
      <c r="C264" t="s">
        <v>285</v>
      </c>
      <c r="D264" t="s">
        <v>881</v>
      </c>
      <c r="E264" s="364">
        <v>-64050.303435999958</v>
      </c>
      <c r="F264" s="364">
        <v>-99307.677473000047</v>
      </c>
      <c r="G264" s="369">
        <v>-95942.396399999969</v>
      </c>
      <c r="H264" s="364">
        <v>-110049.45077500009</v>
      </c>
      <c r="I264" s="350">
        <f t="shared" si="74"/>
        <v>-369349.82808400004</v>
      </c>
      <c r="K264" s="66">
        <f t="shared" si="75"/>
        <v>0</v>
      </c>
      <c r="L264" s="66"/>
      <c r="M264" s="415">
        <v>258</v>
      </c>
      <c r="N264" s="415">
        <v>70</v>
      </c>
      <c r="O264" s="66" t="s">
        <v>285</v>
      </c>
      <c r="P264" t="s">
        <v>881</v>
      </c>
      <c r="Q264" s="364">
        <v>-110049.45077500009</v>
      </c>
      <c r="R264" t="s">
        <v>2580</v>
      </c>
      <c r="S264" s="250"/>
      <c r="T264" s="159">
        <f t="shared" ref="T264:T327" si="77">+W264-C264</f>
        <v>0</v>
      </c>
      <c r="U264" s="250"/>
      <c r="V264" s="415">
        <v>258</v>
      </c>
      <c r="W264" t="s">
        <v>285</v>
      </c>
      <c r="X264" t="s">
        <v>881</v>
      </c>
      <c r="Y264" s="364">
        <v>-75808.295680000025</v>
      </c>
      <c r="Z264" s="364">
        <v>-64050.303435999958</v>
      </c>
      <c r="AA264" s="369">
        <v>-99307.677473000047</v>
      </c>
      <c r="AB264" s="505">
        <v>-95942.396399999969</v>
      </c>
      <c r="AC264" s="350">
        <f t="shared" si="69"/>
        <v>-335108.67298899998</v>
      </c>
      <c r="AG264" s="159">
        <f t="shared" si="70"/>
        <v>0</v>
      </c>
      <c r="AI264" s="442" t="s">
        <v>285</v>
      </c>
      <c r="AJ264" t="s">
        <v>881</v>
      </c>
      <c r="AK264" s="364">
        <v>0</v>
      </c>
      <c r="AL264" s="364">
        <v>-64050.303435999958</v>
      </c>
      <c r="AM264" s="369">
        <v>-99307.677473000047</v>
      </c>
      <c r="AN264" s="505">
        <v>-95942.396399999969</v>
      </c>
      <c r="AO264" s="448">
        <v>-257945.86658900001</v>
      </c>
      <c r="AP264" s="448"/>
      <c r="AQ264" s="438"/>
      <c r="AR264" s="449">
        <f t="shared" si="71"/>
        <v>-259300.37730899997</v>
      </c>
      <c r="AS264" s="438"/>
      <c r="AT264" s="438"/>
      <c r="AU264" s="364">
        <v>-64050.303435999958</v>
      </c>
      <c r="AV264" s="369">
        <v>-99307.677473000047</v>
      </c>
      <c r="AW264" s="505">
        <v>-95942.396399999969</v>
      </c>
      <c r="AX264" s="452">
        <f t="shared" si="72"/>
        <v>-259300.37730899997</v>
      </c>
      <c r="AY264" s="250">
        <f t="shared" si="64"/>
        <v>0</v>
      </c>
      <c r="AZ264" s="439"/>
      <c r="BA264" s="582">
        <v>-110049.45077500009</v>
      </c>
      <c r="BB264" s="462">
        <f t="shared" si="76"/>
        <v>-369349.82808400004</v>
      </c>
      <c r="BC264" s="463">
        <f t="shared" si="68"/>
        <v>0</v>
      </c>
      <c r="BD264" s="431"/>
      <c r="BE264" s="435">
        <f t="shared" si="73"/>
        <v>0</v>
      </c>
    </row>
    <row r="265" spans="1:57" ht="15">
      <c r="A265" s="415">
        <v>259</v>
      </c>
      <c r="B265" s="415">
        <v>189</v>
      </c>
      <c r="C265" t="s">
        <v>492</v>
      </c>
      <c r="D265" t="s">
        <v>975</v>
      </c>
      <c r="E265" s="364">
        <v>-28824.448685000069</v>
      </c>
      <c r="F265" s="364">
        <v>-44670.754329999982</v>
      </c>
      <c r="G265" s="369">
        <v>-16704.320981999917</v>
      </c>
      <c r="H265" s="364">
        <v>-32796.298520000011</v>
      </c>
      <c r="I265" s="350">
        <f t="shared" si="74"/>
        <v>-122995.82251699998</v>
      </c>
      <c r="K265" s="66">
        <f t="shared" si="75"/>
        <v>0</v>
      </c>
      <c r="L265" s="66"/>
      <c r="M265" s="415">
        <v>259</v>
      </c>
      <c r="N265" s="415">
        <v>189</v>
      </c>
      <c r="O265" s="66" t="s">
        <v>492</v>
      </c>
      <c r="P265" t="s">
        <v>975</v>
      </c>
      <c r="Q265" s="364">
        <v>-32796.298520000011</v>
      </c>
      <c r="R265" t="s">
        <v>2580</v>
      </c>
      <c r="S265" s="250"/>
      <c r="T265" s="159">
        <f t="shared" si="77"/>
        <v>0</v>
      </c>
      <c r="U265" s="250"/>
      <c r="V265" s="415">
        <v>259</v>
      </c>
      <c r="W265" t="s">
        <v>492</v>
      </c>
      <c r="X265" t="s">
        <v>975</v>
      </c>
      <c r="Y265" s="364">
        <v>0</v>
      </c>
      <c r="Z265" s="364">
        <v>-28824.448685000069</v>
      </c>
      <c r="AA265" s="369">
        <v>-44670.754329999982</v>
      </c>
      <c r="AB265" s="505">
        <v>-16704.320981999917</v>
      </c>
      <c r="AC265" s="350">
        <f t="shared" si="69"/>
        <v>-90199.523996999967</v>
      </c>
      <c r="AG265" s="159">
        <f t="shared" si="70"/>
        <v>0</v>
      </c>
      <c r="AI265" s="442" t="s">
        <v>492</v>
      </c>
      <c r="AJ265" t="s">
        <v>975</v>
      </c>
      <c r="AK265" s="364">
        <v>0</v>
      </c>
      <c r="AL265" s="364">
        <v>-28824.448685000069</v>
      </c>
      <c r="AM265" s="369">
        <v>-44670.754329999982</v>
      </c>
      <c r="AN265" s="505">
        <v>-16704.320981999917</v>
      </c>
      <c r="AO265" s="448">
        <v>-107598.92301500005</v>
      </c>
      <c r="AP265" s="448"/>
      <c r="AQ265" s="438"/>
      <c r="AR265" s="449">
        <f t="shared" si="71"/>
        <v>-90199.523996999967</v>
      </c>
      <c r="AS265" s="438"/>
      <c r="AT265" s="438"/>
      <c r="AU265" s="364">
        <v>-28824.448685000069</v>
      </c>
      <c r="AV265" s="369">
        <v>-44670.754329999982</v>
      </c>
      <c r="AW265" s="505">
        <v>-16704.320981999917</v>
      </c>
      <c r="AX265" s="452">
        <f t="shared" si="72"/>
        <v>-90199.523996999967</v>
      </c>
      <c r="AY265" s="250">
        <f t="shared" si="64"/>
        <v>0</v>
      </c>
      <c r="AZ265" s="439"/>
      <c r="BA265" s="582">
        <v>-32796.298520000011</v>
      </c>
      <c r="BB265" s="462">
        <f t="shared" si="76"/>
        <v>-122995.82251699998</v>
      </c>
      <c r="BC265" s="463">
        <f t="shared" si="68"/>
        <v>0</v>
      </c>
      <c r="BD265" s="431"/>
      <c r="BE265" s="435">
        <f t="shared" si="73"/>
        <v>0</v>
      </c>
    </row>
    <row r="266" spans="1:57" ht="15">
      <c r="A266" s="415">
        <v>260</v>
      </c>
      <c r="B266" s="415">
        <v>130</v>
      </c>
      <c r="C266" t="s">
        <v>382</v>
      </c>
      <c r="D266" t="s">
        <v>928</v>
      </c>
      <c r="E266" s="364">
        <v>901350.33950821916</v>
      </c>
      <c r="F266" s="364">
        <v>-243983.23626993207</v>
      </c>
      <c r="G266" s="369">
        <v>-424682.98060799949</v>
      </c>
      <c r="H266" s="364">
        <v>47594.79481672775</v>
      </c>
      <c r="I266" s="350">
        <f t="shared" si="74"/>
        <v>280278.91744701541</v>
      </c>
      <c r="K266" s="66">
        <f t="shared" si="75"/>
        <v>0</v>
      </c>
      <c r="L266" s="66"/>
      <c r="M266" s="415">
        <v>260</v>
      </c>
      <c r="N266" s="415">
        <v>130</v>
      </c>
      <c r="O266" s="66" t="s">
        <v>382</v>
      </c>
      <c r="P266" t="s">
        <v>928</v>
      </c>
      <c r="Q266" s="364">
        <v>47594.79481672775</v>
      </c>
      <c r="R266" t="s">
        <v>2580</v>
      </c>
      <c r="S266" s="250"/>
      <c r="T266" s="159">
        <f t="shared" si="77"/>
        <v>0</v>
      </c>
      <c r="U266" s="250"/>
      <c r="V266" s="415">
        <v>260</v>
      </c>
      <c r="W266" t="s">
        <v>382</v>
      </c>
      <c r="X266" t="s">
        <v>928</v>
      </c>
      <c r="Y266" s="364">
        <v>330617.81026204908</v>
      </c>
      <c r="Z266" s="364">
        <v>570732.52924617007</v>
      </c>
      <c r="AA266" s="369">
        <v>-243983.23626993207</v>
      </c>
      <c r="AB266" s="505">
        <v>-424682.98060799949</v>
      </c>
      <c r="AC266" s="350">
        <f t="shared" si="69"/>
        <v>232684.12263028766</v>
      </c>
      <c r="AG266" s="159">
        <f t="shared" si="70"/>
        <v>0</v>
      </c>
      <c r="AI266" s="442" t="s">
        <v>382</v>
      </c>
      <c r="AJ266" t="s">
        <v>928</v>
      </c>
      <c r="AK266" s="364">
        <v>0</v>
      </c>
      <c r="AL266" s="448">
        <v>901350.33950821916</v>
      </c>
      <c r="AM266" s="369">
        <v>-243983.23626993207</v>
      </c>
      <c r="AN266" s="505">
        <v>-424682.98060799949</v>
      </c>
      <c r="AO266" s="448">
        <v>657367.10323828715</v>
      </c>
      <c r="AP266" s="448">
        <v>901350.33950821916</v>
      </c>
      <c r="AQ266" s="438"/>
      <c r="AR266" s="449">
        <f t="shared" si="71"/>
        <v>232684.12263028766</v>
      </c>
      <c r="AS266" s="438"/>
      <c r="AT266" s="438"/>
      <c r="AU266" s="448">
        <v>901350.33950821916</v>
      </c>
      <c r="AV266" s="369">
        <v>-243983.23626993207</v>
      </c>
      <c r="AW266" s="505">
        <v>-424682.98060799949</v>
      </c>
      <c r="AX266" s="452">
        <f t="shared" si="72"/>
        <v>232684.12263028766</v>
      </c>
      <c r="AY266" s="250">
        <f t="shared" si="64"/>
        <v>0</v>
      </c>
      <c r="AZ266" s="439"/>
      <c r="BA266" s="582">
        <v>47594.79481672775</v>
      </c>
      <c r="BB266" s="462">
        <f t="shared" si="76"/>
        <v>280278.91744701541</v>
      </c>
      <c r="BC266" s="463">
        <f t="shared" si="68"/>
        <v>0</v>
      </c>
      <c r="BD266" s="431"/>
      <c r="BE266" s="435">
        <f t="shared" si="73"/>
        <v>0</v>
      </c>
    </row>
    <row r="267" spans="1:57" ht="15">
      <c r="A267" s="415">
        <v>261</v>
      </c>
      <c r="B267" s="415">
        <v>91</v>
      </c>
      <c r="C267" t="s">
        <v>326</v>
      </c>
      <c r="D267" t="s">
        <v>901</v>
      </c>
      <c r="E267" s="364">
        <v>-231546.51909199997</v>
      </c>
      <c r="F267" s="364">
        <v>-278198.0517689999</v>
      </c>
      <c r="G267" s="369">
        <v>-250288.98549800005</v>
      </c>
      <c r="H267" s="364">
        <v>-330855.42635600007</v>
      </c>
      <c r="I267" s="350">
        <f t="shared" si="74"/>
        <v>-1090888.9827149999</v>
      </c>
      <c r="K267" s="66">
        <f t="shared" si="75"/>
        <v>0</v>
      </c>
      <c r="L267" s="66"/>
      <c r="M267" s="415">
        <v>261</v>
      </c>
      <c r="N267" s="415">
        <v>91</v>
      </c>
      <c r="O267" s="66" t="s">
        <v>326</v>
      </c>
      <c r="P267" t="s">
        <v>901</v>
      </c>
      <c r="Q267" s="364">
        <v>-330855.42635600007</v>
      </c>
      <c r="R267" t="s">
        <v>2580</v>
      </c>
      <c r="S267" s="250"/>
      <c r="T267" s="159">
        <f t="shared" si="77"/>
        <v>0</v>
      </c>
      <c r="U267" s="250"/>
      <c r="V267" s="415">
        <v>261</v>
      </c>
      <c r="W267" t="s">
        <v>326</v>
      </c>
      <c r="X267" t="s">
        <v>901</v>
      </c>
      <c r="Y267" s="364">
        <v>-141821.17311999999</v>
      </c>
      <c r="Z267" s="364">
        <v>-231546.51909199997</v>
      </c>
      <c r="AA267" s="369">
        <v>-278198.0517689999</v>
      </c>
      <c r="AB267" s="505">
        <v>-250288.98549800005</v>
      </c>
      <c r="AC267" s="350">
        <f t="shared" si="69"/>
        <v>-901854.72947899986</v>
      </c>
      <c r="AG267" s="159">
        <f t="shared" si="70"/>
        <v>0</v>
      </c>
      <c r="AI267" s="442" t="s">
        <v>326</v>
      </c>
      <c r="AJ267" t="s">
        <v>901</v>
      </c>
      <c r="AK267" s="364">
        <v>0</v>
      </c>
      <c r="AL267" s="364">
        <v>-231546.51909199997</v>
      </c>
      <c r="AM267" s="369">
        <v>-278198.0517689999</v>
      </c>
      <c r="AN267" s="505">
        <v>-250288.98549800005</v>
      </c>
      <c r="AO267" s="448">
        <v>-914681.46398099989</v>
      </c>
      <c r="AP267" s="448"/>
      <c r="AQ267" s="438"/>
      <c r="AR267" s="449">
        <f t="shared" si="71"/>
        <v>-760033.55635899992</v>
      </c>
      <c r="AS267" s="438"/>
      <c r="AT267" s="438"/>
      <c r="AU267" s="364">
        <v>-231546.51909199997</v>
      </c>
      <c r="AV267" s="369">
        <v>-278198.0517689999</v>
      </c>
      <c r="AW267" s="505">
        <v>-250288.98549800005</v>
      </c>
      <c r="AX267" s="452">
        <f t="shared" si="72"/>
        <v>-760033.55635899992</v>
      </c>
      <c r="AY267" s="250">
        <f t="shared" si="64"/>
        <v>0</v>
      </c>
      <c r="AZ267" s="439"/>
      <c r="BA267" s="582">
        <v>-330855.42635600007</v>
      </c>
      <c r="BB267" s="462">
        <f t="shared" si="76"/>
        <v>-1090888.9827149999</v>
      </c>
      <c r="BC267" s="463">
        <f t="shared" si="68"/>
        <v>0</v>
      </c>
      <c r="BD267" s="431"/>
      <c r="BE267" s="435">
        <f t="shared" si="73"/>
        <v>0</v>
      </c>
    </row>
    <row r="268" spans="1:57" ht="15">
      <c r="A268" s="415">
        <v>262</v>
      </c>
      <c r="B268" s="415">
        <v>171</v>
      </c>
      <c r="C268" t="s">
        <v>458</v>
      </c>
      <c r="D268" t="s">
        <v>958</v>
      </c>
      <c r="E268" s="364">
        <v>-9458.3793559999904</v>
      </c>
      <c r="F268" s="364">
        <v>-20870.449752000011</v>
      </c>
      <c r="G268" s="369">
        <v>-35181.822656000033</v>
      </c>
      <c r="H268" s="364">
        <v>-32042.496876999998</v>
      </c>
      <c r="I268" s="350">
        <f t="shared" si="74"/>
        <v>-97553.148641000036</v>
      </c>
      <c r="K268" s="66">
        <f t="shared" si="75"/>
        <v>0</v>
      </c>
      <c r="L268" s="66"/>
      <c r="M268" s="415">
        <v>262</v>
      </c>
      <c r="N268" s="415">
        <v>171</v>
      </c>
      <c r="O268" s="66" t="s">
        <v>458</v>
      </c>
      <c r="P268" t="s">
        <v>958</v>
      </c>
      <c r="Q268" s="364">
        <v>-32042.496876999998</v>
      </c>
      <c r="R268" t="s">
        <v>2580</v>
      </c>
      <c r="S268" s="250"/>
      <c r="T268" s="159">
        <f t="shared" si="77"/>
        <v>0</v>
      </c>
      <c r="U268" s="250"/>
      <c r="V268" s="415">
        <v>262</v>
      </c>
      <c r="W268" t="s">
        <v>458</v>
      </c>
      <c r="X268" t="s">
        <v>958</v>
      </c>
      <c r="Y268" s="364">
        <v>0</v>
      </c>
      <c r="Z268" s="364">
        <v>-9458.3793559999904</v>
      </c>
      <c r="AA268" s="369">
        <v>-20870.449752000011</v>
      </c>
      <c r="AB268" s="505">
        <v>-35181.822656000033</v>
      </c>
      <c r="AC268" s="350">
        <f t="shared" si="69"/>
        <v>-65510.651764000038</v>
      </c>
      <c r="AG268" s="159">
        <f t="shared" si="70"/>
        <v>0</v>
      </c>
      <c r="AI268" s="442" t="s">
        <v>458</v>
      </c>
      <c r="AJ268" t="s">
        <v>958</v>
      </c>
      <c r="AK268" s="364">
        <v>0</v>
      </c>
      <c r="AL268" s="364">
        <v>-9458.3793559999904</v>
      </c>
      <c r="AM268" s="369">
        <v>-20870.449752000011</v>
      </c>
      <c r="AN268" s="505">
        <v>-35181.822656000033</v>
      </c>
      <c r="AO268" s="448">
        <v>-49171.399107999998</v>
      </c>
      <c r="AP268" s="448"/>
      <c r="AQ268" s="438"/>
      <c r="AR268" s="449">
        <f t="shared" si="71"/>
        <v>-65510.651764000038</v>
      </c>
      <c r="AS268" s="438"/>
      <c r="AT268" s="438"/>
      <c r="AU268" s="364">
        <v>-9458.3793559999904</v>
      </c>
      <c r="AV268" s="369">
        <v>-20870.449752000011</v>
      </c>
      <c r="AW268" s="505">
        <v>-35181.822656000033</v>
      </c>
      <c r="AX268" s="452">
        <f t="shared" si="72"/>
        <v>-65510.651764000038</v>
      </c>
      <c r="AY268" s="250">
        <f t="shared" si="64"/>
        <v>0</v>
      </c>
      <c r="AZ268" s="439"/>
      <c r="BA268" s="582">
        <v>-32042.496876999998</v>
      </c>
      <c r="BB268" s="462">
        <f t="shared" si="76"/>
        <v>-97553.148641000036</v>
      </c>
      <c r="BC268" s="463">
        <f t="shared" si="68"/>
        <v>0</v>
      </c>
      <c r="BD268" s="431"/>
      <c r="BE268" s="435">
        <f t="shared" si="73"/>
        <v>0</v>
      </c>
    </row>
    <row r="269" spans="1:57" ht="15">
      <c r="A269" s="415">
        <v>263</v>
      </c>
      <c r="B269" s="415">
        <v>244</v>
      </c>
      <c r="C269" t="s">
        <v>592</v>
      </c>
      <c r="D269" t="s">
        <v>1017</v>
      </c>
      <c r="E269" s="364">
        <v>1932955.2175171478</v>
      </c>
      <c r="F269" s="364">
        <v>928928.11038640304</v>
      </c>
      <c r="G269" s="369">
        <v>871508.71492799744</v>
      </c>
      <c r="H269" s="364">
        <v>496519.4350345768</v>
      </c>
      <c r="I269" s="350">
        <f t="shared" si="74"/>
        <v>4229911.4778661253</v>
      </c>
      <c r="K269" s="66">
        <f t="shared" si="75"/>
        <v>0</v>
      </c>
      <c r="L269" s="66"/>
      <c r="M269" s="415">
        <v>263</v>
      </c>
      <c r="N269" s="415">
        <v>244</v>
      </c>
      <c r="O269" s="66" t="s">
        <v>592</v>
      </c>
      <c r="P269" t="s">
        <v>1017</v>
      </c>
      <c r="Q269" s="364">
        <v>496519.4350345768</v>
      </c>
      <c r="R269" t="s">
        <v>2580</v>
      </c>
      <c r="S269" s="250"/>
      <c r="T269" s="159">
        <f t="shared" si="77"/>
        <v>0</v>
      </c>
      <c r="U269" s="250"/>
      <c r="V269" s="415">
        <v>263</v>
      </c>
      <c r="W269" t="s">
        <v>592</v>
      </c>
      <c r="X269" t="s">
        <v>1017</v>
      </c>
      <c r="Y269" s="364">
        <v>133478.69376368227</v>
      </c>
      <c r="Z269" s="364">
        <v>1799476.5237534654</v>
      </c>
      <c r="AA269" s="369">
        <v>928928.11038640304</v>
      </c>
      <c r="AB269" s="505">
        <v>871508.71492799744</v>
      </c>
      <c r="AC269" s="350">
        <f t="shared" si="69"/>
        <v>3733392.0428315485</v>
      </c>
      <c r="AG269" s="159">
        <f t="shared" si="70"/>
        <v>0</v>
      </c>
      <c r="AI269" s="442" t="s">
        <v>592</v>
      </c>
      <c r="AJ269" t="s">
        <v>1017</v>
      </c>
      <c r="AK269" s="364">
        <v>0</v>
      </c>
      <c r="AL269" s="448">
        <v>1932955.2175171478</v>
      </c>
      <c r="AM269" s="369">
        <v>928928.11038640304</v>
      </c>
      <c r="AN269" s="505">
        <v>871508.71492799744</v>
      </c>
      <c r="AO269" s="448">
        <v>2861883.327903551</v>
      </c>
      <c r="AP269" s="448">
        <v>1932955.2175171478</v>
      </c>
      <c r="AQ269" s="438"/>
      <c r="AR269" s="449">
        <f t="shared" si="71"/>
        <v>3733392.0428315485</v>
      </c>
      <c r="AS269" s="438"/>
      <c r="AT269" s="438"/>
      <c r="AU269" s="448">
        <v>1932955.2175171478</v>
      </c>
      <c r="AV269" s="369">
        <v>928928.11038640304</v>
      </c>
      <c r="AW269" s="505">
        <v>871508.71492799744</v>
      </c>
      <c r="AX269" s="452">
        <f t="shared" si="72"/>
        <v>3733392.0428315485</v>
      </c>
      <c r="AY269" s="250">
        <f t="shared" si="64"/>
        <v>0</v>
      </c>
      <c r="AZ269" s="439"/>
      <c r="BA269" s="582">
        <v>496519.4350345768</v>
      </c>
      <c r="BB269" s="462">
        <f t="shared" si="76"/>
        <v>4229911.4778661253</v>
      </c>
      <c r="BC269" s="463">
        <f t="shared" si="68"/>
        <v>0</v>
      </c>
      <c r="BD269" s="431"/>
      <c r="BE269" s="435">
        <f t="shared" si="73"/>
        <v>0</v>
      </c>
    </row>
    <row r="270" spans="1:57" ht="15">
      <c r="A270" s="415">
        <v>264</v>
      </c>
      <c r="B270" s="415">
        <v>259</v>
      </c>
      <c r="C270" t="s">
        <v>1418</v>
      </c>
      <c r="D270" t="s">
        <v>1625</v>
      </c>
      <c r="E270" s="364">
        <v>-71355.868557999958</v>
      </c>
      <c r="F270" s="364">
        <v>-107523.48939199993</v>
      </c>
      <c r="G270" s="369">
        <v>-107762.47003199987</v>
      </c>
      <c r="H270" s="364">
        <v>65058.270839999896</v>
      </c>
      <c r="I270" s="350">
        <f t="shared" si="74"/>
        <v>-221583.55714199983</v>
      </c>
      <c r="K270" s="66">
        <f t="shared" si="75"/>
        <v>0</v>
      </c>
      <c r="L270" s="66"/>
      <c r="M270" s="415">
        <v>264</v>
      </c>
      <c r="N270" s="415">
        <v>259</v>
      </c>
      <c r="O270" s="66" t="s">
        <v>1418</v>
      </c>
      <c r="P270" t="s">
        <v>1625</v>
      </c>
      <c r="Q270" s="364">
        <v>65058.270839999896</v>
      </c>
      <c r="R270" t="s">
        <v>2580</v>
      </c>
      <c r="S270" s="250"/>
      <c r="T270" s="159">
        <f t="shared" si="77"/>
        <v>0</v>
      </c>
      <c r="U270" s="250"/>
      <c r="V270" s="415">
        <v>264</v>
      </c>
      <c r="W270" t="s">
        <v>1418</v>
      </c>
      <c r="X270" t="s">
        <v>1625</v>
      </c>
      <c r="Y270" s="364">
        <v>0</v>
      </c>
      <c r="Z270" s="364">
        <v>-71355.868557999958</v>
      </c>
      <c r="AA270" s="369">
        <v>-107523.48939199993</v>
      </c>
      <c r="AB270" s="505">
        <v>-107762.47003199987</v>
      </c>
      <c r="AC270" s="350">
        <f t="shared" si="69"/>
        <v>-286641.82798199973</v>
      </c>
      <c r="AG270" s="159">
        <f t="shared" si="70"/>
        <v>0</v>
      </c>
      <c r="AI270" s="442" t="s">
        <v>1418</v>
      </c>
      <c r="AJ270" t="s">
        <v>1625</v>
      </c>
      <c r="AK270" s="364">
        <v>0</v>
      </c>
      <c r="AL270" s="364">
        <v>-71355.868557999958</v>
      </c>
      <c r="AM270" s="369">
        <v>-107523.48939199993</v>
      </c>
      <c r="AN270" s="505">
        <v>-107762.47003199987</v>
      </c>
      <c r="AO270" s="448">
        <v>-228431.15794999991</v>
      </c>
      <c r="AP270" s="448"/>
      <c r="AQ270" s="438"/>
      <c r="AR270" s="449">
        <f t="shared" si="71"/>
        <v>-286641.82798199973</v>
      </c>
      <c r="AS270" s="438"/>
      <c r="AT270" s="438"/>
      <c r="AU270" s="364">
        <v>-71355.868557999958</v>
      </c>
      <c r="AV270" s="369">
        <v>-107523.48939199993</v>
      </c>
      <c r="AW270" s="505">
        <v>-107762.47003199987</v>
      </c>
      <c r="AX270" s="452">
        <f t="shared" si="72"/>
        <v>-286641.82798199973</v>
      </c>
      <c r="AY270" s="250">
        <f t="shared" si="64"/>
        <v>0</v>
      </c>
      <c r="AZ270" s="439"/>
      <c r="BA270" s="582">
        <v>65058.270839999896</v>
      </c>
      <c r="BB270" s="462">
        <f t="shared" si="76"/>
        <v>-221583.55714199983</v>
      </c>
      <c r="BC270" s="463">
        <f t="shared" si="68"/>
        <v>0</v>
      </c>
      <c r="BD270" s="431"/>
      <c r="BE270" s="435">
        <f t="shared" si="73"/>
        <v>0</v>
      </c>
    </row>
    <row r="271" spans="1:57" ht="15">
      <c r="A271" s="415">
        <v>265</v>
      </c>
      <c r="B271" s="415">
        <v>163</v>
      </c>
      <c r="C271" t="s">
        <v>442</v>
      </c>
      <c r="D271" t="s">
        <v>951</v>
      </c>
      <c r="E271" s="364">
        <v>-42495.452113000007</v>
      </c>
      <c r="F271" s="364">
        <v>-46906.800111000004</v>
      </c>
      <c r="G271" s="369">
        <v>-52188.039359999995</v>
      </c>
      <c r="H271" s="364">
        <v>-75701.887886000011</v>
      </c>
      <c r="I271" s="350">
        <f t="shared" si="74"/>
        <v>-217292.17947</v>
      </c>
      <c r="K271" s="66">
        <f t="shared" si="75"/>
        <v>0</v>
      </c>
      <c r="L271" s="66"/>
      <c r="M271" s="415">
        <v>265</v>
      </c>
      <c r="N271" s="415">
        <v>163</v>
      </c>
      <c r="O271" s="66" t="s">
        <v>442</v>
      </c>
      <c r="P271" t="s">
        <v>951</v>
      </c>
      <c r="Q271" s="364">
        <v>-75701.887886000011</v>
      </c>
      <c r="R271" t="s">
        <v>2580</v>
      </c>
      <c r="S271" s="250"/>
      <c r="T271" s="159">
        <f t="shared" si="77"/>
        <v>0</v>
      </c>
      <c r="U271" s="250"/>
      <c r="V271" s="415">
        <v>265</v>
      </c>
      <c r="W271" t="s">
        <v>442</v>
      </c>
      <c r="X271" t="s">
        <v>951</v>
      </c>
      <c r="Y271" s="364">
        <v>-58824.915562999995</v>
      </c>
      <c r="Z271" s="364">
        <v>-42495.452113000007</v>
      </c>
      <c r="AA271" s="369">
        <v>-46906.800111000004</v>
      </c>
      <c r="AB271" s="505">
        <v>-52188.039359999995</v>
      </c>
      <c r="AC271" s="350">
        <f t="shared" si="69"/>
        <v>-200415.20714700001</v>
      </c>
      <c r="AG271" s="159">
        <f t="shared" si="70"/>
        <v>0</v>
      </c>
      <c r="AI271" s="442" t="s">
        <v>442</v>
      </c>
      <c r="AJ271" t="s">
        <v>951</v>
      </c>
      <c r="AK271" s="364">
        <v>0</v>
      </c>
      <c r="AL271" s="364">
        <v>-42495.452113000007</v>
      </c>
      <c r="AM271" s="369">
        <v>-46906.800111000004</v>
      </c>
      <c r="AN271" s="505">
        <v>-52188.039359999995</v>
      </c>
      <c r="AO271" s="448">
        <v>-172985.277787</v>
      </c>
      <c r="AP271" s="448"/>
      <c r="AQ271" s="438"/>
      <c r="AR271" s="449">
        <f t="shared" si="71"/>
        <v>-141590.29158399999</v>
      </c>
      <c r="AS271" s="438"/>
      <c r="AT271" s="438"/>
      <c r="AU271" s="364">
        <v>-42495.452113000007</v>
      </c>
      <c r="AV271" s="369">
        <v>-46906.800111000004</v>
      </c>
      <c r="AW271" s="505">
        <v>-52188.039359999995</v>
      </c>
      <c r="AX271" s="452">
        <f t="shared" si="72"/>
        <v>-141590.29158399999</v>
      </c>
      <c r="AY271" s="250">
        <f t="shared" si="64"/>
        <v>0</v>
      </c>
      <c r="AZ271" s="439"/>
      <c r="BA271" s="582">
        <v>-75701.887886000011</v>
      </c>
      <c r="BB271" s="462">
        <f t="shared" si="76"/>
        <v>-217292.17947</v>
      </c>
      <c r="BC271" s="463">
        <f t="shared" si="68"/>
        <v>0</v>
      </c>
      <c r="BD271" s="431"/>
      <c r="BE271" s="435">
        <f t="shared" si="73"/>
        <v>0</v>
      </c>
    </row>
    <row r="272" spans="1:57" ht="15">
      <c r="A272" s="415">
        <v>266</v>
      </c>
      <c r="B272" s="415">
        <v>312</v>
      </c>
      <c r="C272" t="s">
        <v>707</v>
      </c>
      <c r="D272" t="s">
        <v>1067</v>
      </c>
      <c r="E272" s="364">
        <v>-88548.762519999989</v>
      </c>
      <c r="F272" s="364">
        <v>-112800.114548</v>
      </c>
      <c r="G272" s="369">
        <v>-99272.803839999993</v>
      </c>
      <c r="H272" s="364">
        <v>-120063.17750999996</v>
      </c>
      <c r="I272" s="350">
        <f t="shared" si="74"/>
        <v>-420684.85841799993</v>
      </c>
      <c r="K272" s="66">
        <f t="shared" si="75"/>
        <v>0</v>
      </c>
      <c r="L272" s="66"/>
      <c r="M272" s="415">
        <v>266</v>
      </c>
      <c r="N272" s="415">
        <v>312</v>
      </c>
      <c r="O272" s="66" t="s">
        <v>707</v>
      </c>
      <c r="P272" t="s">
        <v>1067</v>
      </c>
      <c r="Q272" s="364">
        <v>-120063.17750999996</v>
      </c>
      <c r="R272" t="s">
        <v>2580</v>
      </c>
      <c r="S272" s="250"/>
      <c r="T272" s="159">
        <f t="shared" si="77"/>
        <v>0</v>
      </c>
      <c r="U272" s="250"/>
      <c r="V272" s="415">
        <v>266</v>
      </c>
      <c r="W272" t="s">
        <v>707</v>
      </c>
      <c r="X272" t="s">
        <v>1067</v>
      </c>
      <c r="Y272" s="364">
        <v>-110689.854232</v>
      </c>
      <c r="Z272" s="364">
        <v>-88548.762519999989</v>
      </c>
      <c r="AA272" s="369">
        <v>-112800.114548</v>
      </c>
      <c r="AB272" s="505">
        <v>-99272.803839999993</v>
      </c>
      <c r="AC272" s="350">
        <f t="shared" si="69"/>
        <v>-411311.53513999999</v>
      </c>
      <c r="AG272" s="159">
        <f t="shared" si="70"/>
        <v>0</v>
      </c>
      <c r="AI272" s="442" t="s">
        <v>707</v>
      </c>
      <c r="AJ272" t="s">
        <v>1067</v>
      </c>
      <c r="AK272" s="364">
        <v>0</v>
      </c>
      <c r="AL272" s="364">
        <v>-88548.762519999989</v>
      </c>
      <c r="AM272" s="369">
        <v>-112800.114548</v>
      </c>
      <c r="AN272" s="505">
        <v>-99272.803839999993</v>
      </c>
      <c r="AO272" s="448">
        <v>-415854.4313</v>
      </c>
      <c r="AP272" s="448"/>
      <c r="AQ272" s="438"/>
      <c r="AR272" s="449">
        <f t="shared" si="71"/>
        <v>-300621.68090799998</v>
      </c>
      <c r="AS272" s="438"/>
      <c r="AT272" s="438"/>
      <c r="AU272" s="364">
        <v>-88548.762519999989</v>
      </c>
      <c r="AV272" s="369">
        <v>-112800.114548</v>
      </c>
      <c r="AW272" s="505">
        <v>-99272.803839999993</v>
      </c>
      <c r="AX272" s="452">
        <f t="shared" si="72"/>
        <v>-300621.68090799998</v>
      </c>
      <c r="AY272" s="250">
        <f t="shared" si="64"/>
        <v>0</v>
      </c>
      <c r="AZ272" s="439"/>
      <c r="BA272" s="582">
        <v>-120063.17750999996</v>
      </c>
      <c r="BB272" s="462">
        <f t="shared" si="76"/>
        <v>-420684.85841799993</v>
      </c>
      <c r="BC272" s="463">
        <f t="shared" si="68"/>
        <v>0</v>
      </c>
      <c r="BD272" s="431"/>
      <c r="BE272" s="435">
        <f t="shared" si="73"/>
        <v>0</v>
      </c>
    </row>
    <row r="273" spans="1:57" ht="15">
      <c r="A273" s="415">
        <v>267</v>
      </c>
      <c r="B273" s="415">
        <v>243</v>
      </c>
      <c r="C273" t="s">
        <v>590</v>
      </c>
      <c r="D273" t="s">
        <v>1622</v>
      </c>
      <c r="E273" s="364">
        <v>-252886.89768495038</v>
      </c>
      <c r="F273" s="364">
        <v>-880736.21975599974</v>
      </c>
      <c r="G273" s="369">
        <v>-881818.67239599931</v>
      </c>
      <c r="H273" s="364">
        <v>-1074744.4231585106</v>
      </c>
      <c r="I273" s="350">
        <f t="shared" si="74"/>
        <v>-3090186.2129954603</v>
      </c>
      <c r="K273" s="66">
        <f t="shared" si="75"/>
        <v>0</v>
      </c>
      <c r="L273" s="66"/>
      <c r="M273" s="415">
        <v>267</v>
      </c>
      <c r="N273" s="415">
        <v>243</v>
      </c>
      <c r="O273" s="66" t="s">
        <v>590</v>
      </c>
      <c r="P273" t="s">
        <v>1622</v>
      </c>
      <c r="Q273" s="364">
        <v>-1074744.4231585106</v>
      </c>
      <c r="R273" t="s">
        <v>2580</v>
      </c>
      <c r="S273" s="250"/>
      <c r="T273" s="159">
        <f t="shared" si="77"/>
        <v>0</v>
      </c>
      <c r="U273" s="250"/>
      <c r="V273" s="415">
        <v>267</v>
      </c>
      <c r="W273" t="s">
        <v>590</v>
      </c>
      <c r="X273" t="s">
        <v>1622</v>
      </c>
      <c r="Y273" s="364">
        <v>-741202.79307599994</v>
      </c>
      <c r="Z273" s="364">
        <v>-252886.89768495038</v>
      </c>
      <c r="AA273" s="369">
        <v>-880736.21975599974</v>
      </c>
      <c r="AB273" s="505">
        <v>-881818.67239599931</v>
      </c>
      <c r="AC273" s="350">
        <f t="shared" si="69"/>
        <v>-2756644.5829129494</v>
      </c>
      <c r="AG273" s="159">
        <f t="shared" si="70"/>
        <v>0</v>
      </c>
      <c r="AI273" s="442" t="s">
        <v>590</v>
      </c>
      <c r="AJ273" t="s">
        <v>1622</v>
      </c>
      <c r="AK273" s="364">
        <v>0</v>
      </c>
      <c r="AL273" s="364">
        <v>-252886.89768495038</v>
      </c>
      <c r="AM273" s="369">
        <v>-880736.21975599974</v>
      </c>
      <c r="AN273" s="505">
        <v>-881818.67239599931</v>
      </c>
      <c r="AO273" s="448">
        <v>-2456585.4505169503</v>
      </c>
      <c r="AP273" s="448"/>
      <c r="AQ273" s="438"/>
      <c r="AR273" s="449">
        <f t="shared" si="71"/>
        <v>-2015441.7898369494</v>
      </c>
      <c r="AS273" s="438"/>
      <c r="AT273" s="438"/>
      <c r="AU273" s="364">
        <v>-252886.89768495038</v>
      </c>
      <c r="AV273" s="369">
        <v>-880736.21975599974</v>
      </c>
      <c r="AW273" s="505">
        <v>-881818.67239599931</v>
      </c>
      <c r="AX273" s="452">
        <f t="shared" si="72"/>
        <v>-2015441.7898369494</v>
      </c>
      <c r="AY273" s="250">
        <f t="shared" si="64"/>
        <v>0</v>
      </c>
      <c r="AZ273" s="439"/>
      <c r="BA273" s="582">
        <v>-1074744.4231585106</v>
      </c>
      <c r="BB273" s="462">
        <f t="shared" si="76"/>
        <v>-3090186.2129954603</v>
      </c>
      <c r="BC273" s="463">
        <f t="shared" si="68"/>
        <v>0</v>
      </c>
      <c r="BD273" s="431"/>
      <c r="BE273" s="435">
        <f t="shared" si="73"/>
        <v>0</v>
      </c>
    </row>
    <row r="274" spans="1:57" ht="15">
      <c r="A274" s="415">
        <v>268</v>
      </c>
      <c r="B274" s="415">
        <v>62</v>
      </c>
      <c r="C274" s="339" t="s">
        <v>271</v>
      </c>
      <c r="D274" s="340" t="s">
        <v>272</v>
      </c>
      <c r="E274" s="372"/>
      <c r="F274" s="363"/>
      <c r="G274" s="369">
        <v>0</v>
      </c>
      <c r="H274" s="364"/>
      <c r="I274" s="350">
        <f t="shared" si="74"/>
        <v>0</v>
      </c>
      <c r="K274" s="66">
        <f t="shared" si="75"/>
        <v>0</v>
      </c>
      <c r="L274" s="66"/>
      <c r="M274" s="415">
        <v>268</v>
      </c>
      <c r="N274" s="415">
        <v>62</v>
      </c>
      <c r="O274" s="339" t="s">
        <v>271</v>
      </c>
      <c r="P274" s="340" t="s">
        <v>272</v>
      </c>
      <c r="Q274" s="364"/>
      <c r="R274" t="s">
        <v>2580</v>
      </c>
      <c r="S274" s="250"/>
      <c r="T274" s="159">
        <f t="shared" si="77"/>
        <v>0</v>
      </c>
      <c r="U274" s="250"/>
      <c r="V274" s="415">
        <v>268</v>
      </c>
      <c r="W274" s="339" t="s">
        <v>271</v>
      </c>
      <c r="X274" s="340" t="s">
        <v>272</v>
      </c>
      <c r="Y274" s="372">
        <v>0</v>
      </c>
      <c r="Z274" s="363"/>
      <c r="AA274" s="369"/>
      <c r="AB274" s="505">
        <v>0</v>
      </c>
      <c r="AC274" s="350">
        <f t="shared" si="69"/>
        <v>0</v>
      </c>
      <c r="AG274" s="159">
        <f t="shared" si="70"/>
        <v>0</v>
      </c>
      <c r="AI274" s="442" t="s">
        <v>271</v>
      </c>
      <c r="AJ274" s="340" t="s">
        <v>272</v>
      </c>
      <c r="AK274" s="364">
        <v>0</v>
      </c>
      <c r="AL274" s="363"/>
      <c r="AM274" s="369"/>
      <c r="AN274" s="505">
        <v>0</v>
      </c>
      <c r="AO274" s="448">
        <v>0</v>
      </c>
      <c r="AP274" s="448"/>
      <c r="AQ274" s="438"/>
      <c r="AR274" s="449">
        <f t="shared" si="71"/>
        <v>0</v>
      </c>
      <c r="AS274" s="438"/>
      <c r="AT274" s="438"/>
      <c r="AU274" s="363"/>
      <c r="AV274" s="369"/>
      <c r="AW274" s="505">
        <v>0</v>
      </c>
      <c r="AX274" s="452">
        <f t="shared" si="72"/>
        <v>0</v>
      </c>
      <c r="AY274" s="250">
        <f t="shared" si="64"/>
        <v>0</v>
      </c>
      <c r="AZ274" s="439"/>
      <c r="BA274" s="582"/>
      <c r="BB274" s="462">
        <f t="shared" si="76"/>
        <v>0</v>
      </c>
      <c r="BC274" s="463">
        <f t="shared" si="68"/>
        <v>0</v>
      </c>
      <c r="BD274" s="431"/>
      <c r="BE274" s="435">
        <f t="shared" si="73"/>
        <v>0</v>
      </c>
    </row>
    <row r="275" spans="1:57" ht="15">
      <c r="A275" s="415">
        <v>269</v>
      </c>
      <c r="B275" s="415">
        <v>42</v>
      </c>
      <c r="C275" s="349" t="s">
        <v>231</v>
      </c>
      <c r="D275" t="s">
        <v>232</v>
      </c>
      <c r="E275" s="373">
        <v>-62648.210387000014</v>
      </c>
      <c r="F275" s="364">
        <v>-31719.806906000013</v>
      </c>
      <c r="G275" s="369">
        <v>-17951.670000000006</v>
      </c>
      <c r="H275" s="364">
        <v>-69824.586384000009</v>
      </c>
      <c r="I275" s="350">
        <f t="shared" si="74"/>
        <v>-182144.27367700002</v>
      </c>
      <c r="K275" s="66">
        <f t="shared" si="75"/>
        <v>0</v>
      </c>
      <c r="L275" s="66"/>
      <c r="M275" s="415">
        <v>269</v>
      </c>
      <c r="N275" s="415">
        <v>42</v>
      </c>
      <c r="O275" s="66" t="s">
        <v>231</v>
      </c>
      <c r="P275" t="s">
        <v>232</v>
      </c>
      <c r="Q275" s="364">
        <v>-69824.586384000009</v>
      </c>
      <c r="R275" t="s">
        <v>2580</v>
      </c>
      <c r="S275" s="250"/>
      <c r="T275" s="159">
        <f t="shared" si="77"/>
        <v>0</v>
      </c>
      <c r="U275" s="250"/>
      <c r="V275" s="415">
        <v>269</v>
      </c>
      <c r="W275" s="349" t="s">
        <v>231</v>
      </c>
      <c r="X275" t="s">
        <v>232</v>
      </c>
      <c r="Y275" s="373">
        <v>0</v>
      </c>
      <c r="Z275" s="364">
        <v>-62648.210387000014</v>
      </c>
      <c r="AA275" s="369">
        <v>-31719.806906000013</v>
      </c>
      <c r="AB275" s="505">
        <v>-17951.670000000006</v>
      </c>
      <c r="AC275" s="350">
        <f t="shared" si="69"/>
        <v>-112319.68729300002</v>
      </c>
      <c r="AG275" s="159">
        <f t="shared" si="70"/>
        <v>0</v>
      </c>
      <c r="AI275" s="442" t="s">
        <v>231</v>
      </c>
      <c r="AJ275" t="s">
        <v>232</v>
      </c>
      <c r="AK275" s="364">
        <v>0</v>
      </c>
      <c r="AL275" s="364">
        <v>-62648.210387000014</v>
      </c>
      <c r="AM275" s="369">
        <v>-31719.806906000013</v>
      </c>
      <c r="AN275" s="505">
        <v>-17951.670000000006</v>
      </c>
      <c r="AO275" s="448">
        <v>-94368.017293000026</v>
      </c>
      <c r="AP275" s="448"/>
      <c r="AQ275" s="438"/>
      <c r="AR275" s="449">
        <f t="shared" si="71"/>
        <v>-112319.68729300002</v>
      </c>
      <c r="AS275" s="438"/>
      <c r="AT275" s="438"/>
      <c r="AU275" s="364">
        <v>-62648.210387000014</v>
      </c>
      <c r="AV275" s="369">
        <v>-31719.806906000013</v>
      </c>
      <c r="AW275" s="505">
        <v>-17951.670000000006</v>
      </c>
      <c r="AX275" s="452">
        <f t="shared" si="72"/>
        <v>-112319.68729300002</v>
      </c>
      <c r="AY275" s="250">
        <f t="shared" si="64"/>
        <v>0</v>
      </c>
      <c r="AZ275" s="439"/>
      <c r="BA275" s="582">
        <v>-69824.586384000009</v>
      </c>
      <c r="BB275" s="462">
        <f t="shared" si="76"/>
        <v>-182144.27367700002</v>
      </c>
      <c r="BC275" s="463">
        <f t="shared" si="68"/>
        <v>0</v>
      </c>
      <c r="BD275" s="431"/>
      <c r="BE275" s="435">
        <f t="shared" si="73"/>
        <v>0</v>
      </c>
    </row>
    <row r="276" spans="1:57" ht="15">
      <c r="A276" s="415">
        <v>270</v>
      </c>
      <c r="B276" s="415">
        <v>15</v>
      </c>
      <c r="C276" s="339" t="s">
        <v>191</v>
      </c>
      <c r="D276" s="340" t="s">
        <v>192</v>
      </c>
      <c r="E276" s="372"/>
      <c r="F276" s="363"/>
      <c r="G276" s="369">
        <v>0</v>
      </c>
      <c r="H276" s="364"/>
      <c r="I276" s="350">
        <f t="shared" si="74"/>
        <v>0</v>
      </c>
      <c r="K276" s="66">
        <f t="shared" si="75"/>
        <v>0</v>
      </c>
      <c r="L276" s="66"/>
      <c r="M276" s="415">
        <v>270</v>
      </c>
      <c r="N276" s="415">
        <v>15</v>
      </c>
      <c r="O276" s="339" t="s">
        <v>191</v>
      </c>
      <c r="P276" s="340" t="s">
        <v>192</v>
      </c>
      <c r="Q276" s="364"/>
      <c r="R276" t="s">
        <v>2580</v>
      </c>
      <c r="S276" s="250"/>
      <c r="T276" s="159">
        <f t="shared" si="77"/>
        <v>0</v>
      </c>
      <c r="U276" s="250"/>
      <c r="V276" s="415">
        <v>270</v>
      </c>
      <c r="W276" s="339" t="s">
        <v>191</v>
      </c>
      <c r="X276" s="340" t="s">
        <v>192</v>
      </c>
      <c r="Y276" s="372">
        <v>0</v>
      </c>
      <c r="Z276" s="363"/>
      <c r="AA276" s="369"/>
      <c r="AB276" s="505">
        <v>0</v>
      </c>
      <c r="AC276" s="350">
        <f t="shared" si="69"/>
        <v>0</v>
      </c>
      <c r="AG276" s="159">
        <f t="shared" si="70"/>
        <v>0</v>
      </c>
      <c r="AI276" s="442" t="s">
        <v>191</v>
      </c>
      <c r="AJ276" s="340" t="s">
        <v>192</v>
      </c>
      <c r="AK276" s="364">
        <v>0</v>
      </c>
      <c r="AL276" s="363"/>
      <c r="AM276" s="369"/>
      <c r="AN276" s="505">
        <v>0</v>
      </c>
      <c r="AO276" s="448">
        <v>0</v>
      </c>
      <c r="AP276" s="448"/>
      <c r="AQ276" s="438"/>
      <c r="AR276" s="449">
        <f t="shared" si="71"/>
        <v>0</v>
      </c>
      <c r="AS276" s="438"/>
      <c r="AT276" s="438"/>
      <c r="AU276" s="363"/>
      <c r="AV276" s="369"/>
      <c r="AW276" s="505">
        <v>0</v>
      </c>
      <c r="AX276" s="452">
        <f t="shared" si="72"/>
        <v>0</v>
      </c>
      <c r="AY276" s="250">
        <f t="shared" si="64"/>
        <v>0</v>
      </c>
      <c r="AZ276" s="439"/>
      <c r="BA276" s="582"/>
      <c r="BB276" s="462">
        <f t="shared" si="76"/>
        <v>0</v>
      </c>
      <c r="BC276" s="463">
        <f t="shared" si="68"/>
        <v>0</v>
      </c>
      <c r="BD276" s="431"/>
      <c r="BE276" s="435">
        <f t="shared" si="73"/>
        <v>0</v>
      </c>
    </row>
    <row r="277" spans="1:57" ht="15">
      <c r="A277" s="415">
        <v>271</v>
      </c>
      <c r="B277" s="415">
        <v>196</v>
      </c>
      <c r="C277" t="s">
        <v>505</v>
      </c>
      <c r="D277" t="s">
        <v>982</v>
      </c>
      <c r="E277" s="373">
        <v>0</v>
      </c>
      <c r="F277" s="364">
        <v>0</v>
      </c>
      <c r="G277" s="369">
        <v>-488.36717299977317</v>
      </c>
      <c r="H277" s="364">
        <v>-117087.25084999995</v>
      </c>
      <c r="I277" s="350">
        <f t="shared" si="74"/>
        <v>-117575.61802299973</v>
      </c>
      <c r="K277" s="66">
        <f t="shared" si="75"/>
        <v>0</v>
      </c>
      <c r="L277" s="66"/>
      <c r="M277" s="415">
        <v>271</v>
      </c>
      <c r="N277" s="415">
        <v>196</v>
      </c>
      <c r="O277" s="66" t="s">
        <v>505</v>
      </c>
      <c r="P277" t="s">
        <v>982</v>
      </c>
      <c r="Q277" s="364">
        <v>-117087.25084999995</v>
      </c>
      <c r="R277" t="s">
        <v>2580</v>
      </c>
      <c r="S277" s="250"/>
      <c r="T277" s="159">
        <f t="shared" si="77"/>
        <v>0</v>
      </c>
      <c r="U277" s="250"/>
      <c r="V277" s="415">
        <v>271</v>
      </c>
      <c r="W277" t="s">
        <v>505</v>
      </c>
      <c r="X277" t="s">
        <v>982</v>
      </c>
      <c r="Y277" s="373">
        <v>-30112.744849999784</v>
      </c>
      <c r="Z277" s="364">
        <v>0</v>
      </c>
      <c r="AA277" s="369">
        <v>0</v>
      </c>
      <c r="AB277" s="505">
        <v>-488.36717299977317</v>
      </c>
      <c r="AC277" s="350">
        <f t="shared" si="69"/>
        <v>-30601.112022999558</v>
      </c>
      <c r="AG277" s="159">
        <f t="shared" si="70"/>
        <v>0</v>
      </c>
      <c r="AI277" s="442" t="s">
        <v>505</v>
      </c>
      <c r="AJ277" t="s">
        <v>982</v>
      </c>
      <c r="AK277" s="364">
        <v>0</v>
      </c>
      <c r="AL277" s="364">
        <v>0</v>
      </c>
      <c r="AM277" s="369">
        <v>0</v>
      </c>
      <c r="AN277" s="505">
        <v>-488.36717299977317</v>
      </c>
      <c r="AO277" s="448">
        <v>-73685.112010999641</v>
      </c>
      <c r="AP277" s="448">
        <f>+AL277</f>
        <v>0</v>
      </c>
      <c r="AQ277" s="438"/>
      <c r="AR277" s="449">
        <f t="shared" si="71"/>
        <v>-488.36717299977317</v>
      </c>
      <c r="AS277" s="438"/>
      <c r="AT277" s="438"/>
      <c r="AU277" s="364">
        <v>0</v>
      </c>
      <c r="AV277" s="369">
        <v>0</v>
      </c>
      <c r="AW277" s="505">
        <v>-488.36717299977317</v>
      </c>
      <c r="AX277" s="452">
        <f t="shared" si="72"/>
        <v>-488.36717299977317</v>
      </c>
      <c r="AY277" s="250">
        <f t="shared" si="64"/>
        <v>0</v>
      </c>
      <c r="AZ277" s="439"/>
      <c r="BA277" s="582">
        <v>-117087.25084999995</v>
      </c>
      <c r="BB277" s="462">
        <f t="shared" si="76"/>
        <v>-117575.61802299973</v>
      </c>
      <c r="BC277" s="463">
        <f t="shared" si="68"/>
        <v>0</v>
      </c>
      <c r="BD277" s="431"/>
      <c r="BE277" s="435">
        <f t="shared" si="73"/>
        <v>0</v>
      </c>
    </row>
    <row r="278" spans="1:57" ht="15">
      <c r="A278" s="415">
        <v>272</v>
      </c>
      <c r="B278" s="415">
        <v>308</v>
      </c>
      <c r="C278" s="339" t="s">
        <v>699</v>
      </c>
      <c r="D278" s="340" t="s">
        <v>700</v>
      </c>
      <c r="E278" s="372"/>
      <c r="F278" s="363"/>
      <c r="G278" s="369">
        <v>0</v>
      </c>
      <c r="H278" s="364"/>
      <c r="I278" s="350">
        <f t="shared" si="74"/>
        <v>0</v>
      </c>
      <c r="K278" s="66">
        <f t="shared" si="75"/>
        <v>0</v>
      </c>
      <c r="L278" s="66"/>
      <c r="M278" s="415">
        <v>272</v>
      </c>
      <c r="N278" s="415">
        <v>308</v>
      </c>
      <c r="O278" s="339" t="s">
        <v>699</v>
      </c>
      <c r="P278" s="340" t="s">
        <v>700</v>
      </c>
      <c r="Q278" s="364"/>
      <c r="R278" t="s">
        <v>2580</v>
      </c>
      <c r="S278" s="250"/>
      <c r="T278" s="159">
        <f t="shared" si="77"/>
        <v>0</v>
      </c>
      <c r="U278" s="250"/>
      <c r="V278" s="415">
        <v>272</v>
      </c>
      <c r="W278" s="339" t="s">
        <v>699</v>
      </c>
      <c r="X278" s="340" t="s">
        <v>700</v>
      </c>
      <c r="Y278" s="372">
        <v>0</v>
      </c>
      <c r="Z278" s="363"/>
      <c r="AA278" s="369"/>
      <c r="AB278" s="505">
        <v>0</v>
      </c>
      <c r="AC278" s="350">
        <f t="shared" si="69"/>
        <v>0</v>
      </c>
      <c r="AG278" s="159">
        <f t="shared" si="70"/>
        <v>0</v>
      </c>
      <c r="AI278" s="442" t="s">
        <v>699</v>
      </c>
      <c r="AJ278" s="340" t="s">
        <v>700</v>
      </c>
      <c r="AK278" s="364">
        <v>0</v>
      </c>
      <c r="AL278" s="363"/>
      <c r="AM278" s="369"/>
      <c r="AN278" s="505">
        <v>0</v>
      </c>
      <c r="AO278" s="448">
        <v>0</v>
      </c>
      <c r="AP278" s="448"/>
      <c r="AQ278" s="438"/>
      <c r="AR278" s="449">
        <f t="shared" si="71"/>
        <v>0</v>
      </c>
      <c r="AS278" s="438"/>
      <c r="AT278" s="438"/>
      <c r="AU278" s="363"/>
      <c r="AV278" s="369"/>
      <c r="AW278" s="505">
        <v>0</v>
      </c>
      <c r="AX278" s="452">
        <f t="shared" si="72"/>
        <v>0</v>
      </c>
      <c r="AY278" s="250">
        <f t="shared" si="64"/>
        <v>0</v>
      </c>
      <c r="AZ278" s="439"/>
      <c r="BA278" s="582"/>
      <c r="BB278" s="462">
        <f t="shared" si="76"/>
        <v>0</v>
      </c>
      <c r="BC278" s="463">
        <f t="shared" si="68"/>
        <v>0</v>
      </c>
      <c r="BD278" s="431"/>
      <c r="BE278" s="435">
        <f t="shared" si="73"/>
        <v>0</v>
      </c>
    </row>
    <row r="279" spans="1:57" ht="15">
      <c r="A279" s="415">
        <v>273</v>
      </c>
      <c r="B279" s="415">
        <v>229</v>
      </c>
      <c r="C279" t="s">
        <v>562</v>
      </c>
      <c r="D279" t="s">
        <v>563</v>
      </c>
      <c r="E279" s="364">
        <v>-137434.15801280562</v>
      </c>
      <c r="F279" s="364">
        <v>-96655.24377735093</v>
      </c>
      <c r="G279" s="369">
        <v>-109986.49252800003</v>
      </c>
      <c r="H279" s="364">
        <v>-87760.621829000069</v>
      </c>
      <c r="I279" s="350">
        <f t="shared" si="74"/>
        <v>-431836.51614715665</v>
      </c>
      <c r="K279" s="66">
        <f t="shared" si="75"/>
        <v>0</v>
      </c>
      <c r="L279" s="66"/>
      <c r="M279" s="415">
        <v>273</v>
      </c>
      <c r="N279" s="415">
        <v>229</v>
      </c>
      <c r="O279" s="66" t="s">
        <v>562</v>
      </c>
      <c r="P279" t="s">
        <v>563</v>
      </c>
      <c r="Q279" s="364">
        <v>-87760.621829000069</v>
      </c>
      <c r="R279" t="s">
        <v>2580</v>
      </c>
      <c r="S279" s="250"/>
      <c r="T279" s="159">
        <f t="shared" si="77"/>
        <v>0</v>
      </c>
      <c r="U279" s="250"/>
      <c r="V279" s="415">
        <v>273</v>
      </c>
      <c r="W279" t="s">
        <v>562</v>
      </c>
      <c r="X279" t="s">
        <v>563</v>
      </c>
      <c r="Y279" s="364">
        <v>-93285.851157681653</v>
      </c>
      <c r="Z279" s="364">
        <v>-137434.15801280562</v>
      </c>
      <c r="AA279" s="369">
        <v>-96655.24377735093</v>
      </c>
      <c r="AB279" s="505">
        <v>-109986.49252800003</v>
      </c>
      <c r="AC279" s="350">
        <f t="shared" si="69"/>
        <v>-437361.74547583825</v>
      </c>
      <c r="AG279" s="159">
        <f t="shared" si="70"/>
        <v>0</v>
      </c>
      <c r="AI279" s="442" t="s">
        <v>562</v>
      </c>
      <c r="AJ279" t="s">
        <v>563</v>
      </c>
      <c r="AK279" s="364">
        <v>0</v>
      </c>
      <c r="AL279" s="364">
        <v>-137434.15801280562</v>
      </c>
      <c r="AM279" s="369">
        <v>-96655.24377735093</v>
      </c>
      <c r="AN279" s="505">
        <v>-109986.49252800003</v>
      </c>
      <c r="AO279" s="448">
        <v>-444517.2929478382</v>
      </c>
      <c r="AP279" s="448"/>
      <c r="AQ279" s="438"/>
      <c r="AR279" s="449">
        <f t="shared" si="71"/>
        <v>-344075.89431815658</v>
      </c>
      <c r="AS279" s="438"/>
      <c r="AT279" s="438"/>
      <c r="AU279" s="364">
        <v>-137434.15801280562</v>
      </c>
      <c r="AV279" s="369">
        <v>-96655.24377735093</v>
      </c>
      <c r="AW279" s="505">
        <v>-109986.49252800003</v>
      </c>
      <c r="AX279" s="452">
        <f t="shared" si="72"/>
        <v>-344075.89431815658</v>
      </c>
      <c r="AY279" s="250">
        <f t="shared" si="64"/>
        <v>0</v>
      </c>
      <c r="AZ279" s="439"/>
      <c r="BA279" s="582">
        <v>-87760.621829000069</v>
      </c>
      <c r="BB279" s="462">
        <f t="shared" si="76"/>
        <v>-431836.51614715665</v>
      </c>
      <c r="BC279" s="463">
        <f t="shared" si="68"/>
        <v>0</v>
      </c>
      <c r="BD279" s="431"/>
      <c r="BE279" s="435">
        <f t="shared" si="73"/>
        <v>0</v>
      </c>
    </row>
    <row r="280" spans="1:57" ht="15">
      <c r="A280" s="415">
        <v>274</v>
      </c>
      <c r="B280" s="415">
        <v>240</v>
      </c>
      <c r="C280" t="s">
        <v>584</v>
      </c>
      <c r="D280" t="s">
        <v>1014</v>
      </c>
      <c r="E280" s="364">
        <v>196982.45682299987</v>
      </c>
      <c r="F280" s="364">
        <v>-92026.969409999889</v>
      </c>
      <c r="G280" s="369">
        <v>-1814.0932679998223</v>
      </c>
      <c r="H280" s="364">
        <v>-166124.01501270942</v>
      </c>
      <c r="I280" s="350">
        <f t="shared" si="74"/>
        <v>-62982.620867709265</v>
      </c>
      <c r="K280" s="66">
        <f t="shared" si="75"/>
        <v>0</v>
      </c>
      <c r="L280" s="66"/>
      <c r="M280" s="415">
        <v>274</v>
      </c>
      <c r="N280" s="415">
        <v>240</v>
      </c>
      <c r="O280" s="66" t="s">
        <v>584</v>
      </c>
      <c r="P280" t="s">
        <v>1014</v>
      </c>
      <c r="Q280" s="364">
        <v>-166124.01501270942</v>
      </c>
      <c r="R280" t="s">
        <v>2580</v>
      </c>
      <c r="S280" s="250"/>
      <c r="T280" s="159">
        <f t="shared" si="77"/>
        <v>0</v>
      </c>
      <c r="U280" s="250"/>
      <c r="V280" s="415">
        <v>274</v>
      </c>
      <c r="W280" t="s">
        <v>584</v>
      </c>
      <c r="X280" t="s">
        <v>1014</v>
      </c>
      <c r="Y280" s="364">
        <v>92671.94313999977</v>
      </c>
      <c r="Z280" s="364">
        <v>104310.51368300011</v>
      </c>
      <c r="AA280" s="369">
        <v>-92026.969409999889</v>
      </c>
      <c r="AB280" s="505">
        <v>-1814.0932679998223</v>
      </c>
      <c r="AC280" s="350">
        <f t="shared" ref="AC280:AC311" si="78">SUM(Y280:AB280)</f>
        <v>103141.39414500016</v>
      </c>
      <c r="AG280" s="159">
        <f t="shared" ref="AG280:AG311" si="79">+AI280-W280</f>
        <v>0</v>
      </c>
      <c r="AI280" s="442" t="s">
        <v>584</v>
      </c>
      <c r="AJ280" t="s">
        <v>1014</v>
      </c>
      <c r="AK280" s="364">
        <v>0</v>
      </c>
      <c r="AL280" s="448">
        <v>196982.45682299987</v>
      </c>
      <c r="AM280" s="369">
        <v>-92026.969409999889</v>
      </c>
      <c r="AN280" s="505">
        <v>-1814.0932679998223</v>
      </c>
      <c r="AO280" s="448">
        <v>104955.48741299998</v>
      </c>
      <c r="AP280" s="448">
        <v>196982.45682299987</v>
      </c>
      <c r="AQ280" s="438"/>
      <c r="AR280" s="449">
        <f t="shared" si="71"/>
        <v>103141.39414500016</v>
      </c>
      <c r="AS280" s="438"/>
      <c r="AT280" s="438"/>
      <c r="AU280" s="448">
        <v>196982.45682299987</v>
      </c>
      <c r="AV280" s="369">
        <v>-92026.969409999889</v>
      </c>
      <c r="AW280" s="505">
        <v>-1814.0932679998223</v>
      </c>
      <c r="AX280" s="452">
        <f t="shared" si="72"/>
        <v>103141.39414500016</v>
      </c>
      <c r="AY280" s="250">
        <f t="shared" si="64"/>
        <v>0</v>
      </c>
      <c r="AZ280" s="439"/>
      <c r="BA280" s="582">
        <v>-166124.01501270942</v>
      </c>
      <c r="BB280" s="462">
        <f t="shared" si="76"/>
        <v>-62982.620867709265</v>
      </c>
      <c r="BC280" s="463">
        <f t="shared" si="68"/>
        <v>0</v>
      </c>
      <c r="BD280" s="431"/>
      <c r="BE280" s="435">
        <f t="shared" si="73"/>
        <v>0</v>
      </c>
    </row>
    <row r="281" spans="1:57" ht="15">
      <c r="A281" s="415">
        <v>275</v>
      </c>
      <c r="B281" s="415">
        <v>268</v>
      </c>
      <c r="C281" t="s">
        <v>630</v>
      </c>
      <c r="D281" t="s">
        <v>1033</v>
      </c>
      <c r="E281" s="364">
        <v>-5485.8716120000026</v>
      </c>
      <c r="F281" s="364">
        <v>-628.77311199999531</v>
      </c>
      <c r="G281" s="369">
        <v>-16401.125150000007</v>
      </c>
      <c r="H281" s="364">
        <v>1259.0384510000004</v>
      </c>
      <c r="I281" s="350">
        <f t="shared" si="74"/>
        <v>-21256.731423000005</v>
      </c>
      <c r="K281" s="66">
        <f t="shared" si="75"/>
        <v>0</v>
      </c>
      <c r="L281" s="66"/>
      <c r="M281" s="415">
        <v>275</v>
      </c>
      <c r="N281" s="415">
        <v>268</v>
      </c>
      <c r="O281" s="66" t="s">
        <v>630</v>
      </c>
      <c r="P281" t="s">
        <v>1033</v>
      </c>
      <c r="Q281" s="364">
        <v>1259.0384510000004</v>
      </c>
      <c r="R281" t="s">
        <v>2580</v>
      </c>
      <c r="S281" s="250"/>
      <c r="T281" s="159">
        <f t="shared" si="77"/>
        <v>0</v>
      </c>
      <c r="U281" s="250"/>
      <c r="V281" s="415">
        <v>275</v>
      </c>
      <c r="W281" t="s">
        <v>630</v>
      </c>
      <c r="X281" t="s">
        <v>1033</v>
      </c>
      <c r="Y281" s="364">
        <v>-67617.574877999985</v>
      </c>
      <c r="Z281" s="364">
        <v>-5485.8716120000026</v>
      </c>
      <c r="AA281" s="369">
        <v>-628.77311199999531</v>
      </c>
      <c r="AB281" s="505">
        <v>-16401.125150000007</v>
      </c>
      <c r="AC281" s="350">
        <f t="shared" si="78"/>
        <v>-90133.34475199999</v>
      </c>
      <c r="AG281" s="159">
        <f t="shared" si="79"/>
        <v>0</v>
      </c>
      <c r="AI281" s="442" t="s">
        <v>630</v>
      </c>
      <c r="AJ281" t="s">
        <v>1033</v>
      </c>
      <c r="AK281" s="364">
        <v>0</v>
      </c>
      <c r="AL281" s="364">
        <v>-5485.8716120000026</v>
      </c>
      <c r="AM281" s="369">
        <v>-628.77311199999531</v>
      </c>
      <c r="AN281" s="505">
        <v>-16401.125150000007</v>
      </c>
      <c r="AO281" s="448">
        <v>-99770.869601999977</v>
      </c>
      <c r="AP281" s="448"/>
      <c r="AQ281" s="438"/>
      <c r="AR281" s="449">
        <f t="shared" ref="AR281:AR312" si="80">SUM(AL281:AN281)</f>
        <v>-22515.769874000005</v>
      </c>
      <c r="AS281" s="438"/>
      <c r="AT281" s="438"/>
      <c r="AU281" s="364">
        <v>-5485.8716120000026</v>
      </c>
      <c r="AV281" s="369">
        <v>-628.77311199999531</v>
      </c>
      <c r="AW281" s="505">
        <v>-16401.125150000007</v>
      </c>
      <c r="AX281" s="452">
        <f t="shared" ref="AX281:AX312" si="81">SUM(AU281:AW281)</f>
        <v>-22515.769874000005</v>
      </c>
      <c r="AY281" s="250">
        <f t="shared" si="64"/>
        <v>0</v>
      </c>
      <c r="AZ281" s="439"/>
      <c r="BA281" s="582">
        <v>1259.0384510000004</v>
      </c>
      <c r="BB281" s="462">
        <f t="shared" si="76"/>
        <v>-21256.731423000005</v>
      </c>
      <c r="BC281" s="463">
        <f t="shared" si="68"/>
        <v>0</v>
      </c>
      <c r="BD281" s="431"/>
      <c r="BE281" s="435">
        <f t="shared" si="73"/>
        <v>0</v>
      </c>
    </row>
    <row r="282" spans="1:57" ht="15">
      <c r="A282" s="415">
        <v>276</v>
      </c>
      <c r="B282" s="415">
        <v>213</v>
      </c>
      <c r="C282" t="s">
        <v>1426</v>
      </c>
      <c r="D282" t="s">
        <v>1595</v>
      </c>
      <c r="E282" s="364">
        <v>-29062.916509999995</v>
      </c>
      <c r="F282" s="364">
        <v>-31303.087064000003</v>
      </c>
      <c r="G282" s="369">
        <v>-28198.835514999999</v>
      </c>
      <c r="H282" s="364">
        <v>-1660.6864199999909</v>
      </c>
      <c r="I282" s="350">
        <f t="shared" si="74"/>
        <v>-90225.525508999999</v>
      </c>
      <c r="K282" s="66">
        <f t="shared" si="75"/>
        <v>0</v>
      </c>
      <c r="L282" s="66"/>
      <c r="M282" s="415">
        <v>276</v>
      </c>
      <c r="N282" s="415">
        <v>213</v>
      </c>
      <c r="O282" s="66" t="s">
        <v>1426</v>
      </c>
      <c r="P282" t="s">
        <v>1595</v>
      </c>
      <c r="Q282" s="364">
        <v>-1660.6864199999909</v>
      </c>
      <c r="R282" t="s">
        <v>2580</v>
      </c>
      <c r="S282" s="250"/>
      <c r="T282" s="159">
        <f t="shared" si="77"/>
        <v>0</v>
      </c>
      <c r="U282" s="250"/>
      <c r="V282" s="415">
        <v>276</v>
      </c>
      <c r="W282" t="s">
        <v>1426</v>
      </c>
      <c r="X282" t="s">
        <v>1595</v>
      </c>
      <c r="Y282" s="364">
        <v>-35526.348065000013</v>
      </c>
      <c r="Z282" s="364">
        <v>-29062.916509999995</v>
      </c>
      <c r="AA282" s="369">
        <v>-31303.087064000003</v>
      </c>
      <c r="AB282" s="505">
        <v>-28198.835514999999</v>
      </c>
      <c r="AC282" s="350">
        <f t="shared" si="78"/>
        <v>-124091.18715400001</v>
      </c>
      <c r="AG282" s="159">
        <f t="shared" si="79"/>
        <v>0</v>
      </c>
      <c r="AI282" s="442" t="s">
        <v>1426</v>
      </c>
      <c r="AJ282" t="s">
        <v>1595</v>
      </c>
      <c r="AK282" s="364">
        <v>0</v>
      </c>
      <c r="AL282" s="364">
        <v>-29062.916509999995</v>
      </c>
      <c r="AM282" s="369">
        <v>-31303.087064000003</v>
      </c>
      <c r="AN282" s="505">
        <v>-28198.835514999999</v>
      </c>
      <c r="AO282" s="448">
        <v>-151341.55163900001</v>
      </c>
      <c r="AP282" s="448"/>
      <c r="AQ282" s="438"/>
      <c r="AR282" s="449">
        <f t="shared" si="80"/>
        <v>-88564.839089000001</v>
      </c>
      <c r="AS282" s="438"/>
      <c r="AT282" s="438"/>
      <c r="AU282" s="364">
        <v>-29062.916509999995</v>
      </c>
      <c r="AV282" s="369">
        <v>-31303.087064000003</v>
      </c>
      <c r="AW282" s="505">
        <v>-28198.835514999999</v>
      </c>
      <c r="AX282" s="452">
        <f t="shared" si="81"/>
        <v>-88564.839089000001</v>
      </c>
      <c r="AY282" s="250">
        <f t="shared" si="64"/>
        <v>0</v>
      </c>
      <c r="AZ282" s="439"/>
      <c r="BA282" s="582">
        <v>-1660.6864199999909</v>
      </c>
      <c r="BB282" s="462">
        <f t="shared" si="76"/>
        <v>-90225.525508999999</v>
      </c>
      <c r="BC282" s="463">
        <f t="shared" si="68"/>
        <v>0</v>
      </c>
      <c r="BD282" s="431"/>
      <c r="BE282" s="435">
        <f t="shared" si="73"/>
        <v>0</v>
      </c>
    </row>
    <row r="283" spans="1:57" ht="15">
      <c r="A283" s="415">
        <v>277</v>
      </c>
      <c r="B283" s="415">
        <v>117</v>
      </c>
      <c r="C283" t="s">
        <v>1427</v>
      </c>
      <c r="D283" t="s">
        <v>1596</v>
      </c>
      <c r="E283" s="364">
        <v>-44586.923548000006</v>
      </c>
      <c r="F283" s="364">
        <v>-48948.54823</v>
      </c>
      <c r="G283" s="369">
        <v>-11416.650664000001</v>
      </c>
      <c r="H283" s="364">
        <v>-12610.286843999995</v>
      </c>
      <c r="I283" s="350">
        <f t="shared" si="74"/>
        <v>-117562.40928600001</v>
      </c>
      <c r="K283" s="66">
        <f t="shared" si="75"/>
        <v>0</v>
      </c>
      <c r="L283" s="66"/>
      <c r="M283" s="415">
        <v>277</v>
      </c>
      <c r="N283" s="415">
        <v>117</v>
      </c>
      <c r="O283" s="66" t="s">
        <v>1427</v>
      </c>
      <c r="P283" t="s">
        <v>1596</v>
      </c>
      <c r="Q283" s="364">
        <v>-12610.286843999995</v>
      </c>
      <c r="R283" t="s">
        <v>2580</v>
      </c>
      <c r="S283" s="250"/>
      <c r="T283" s="159">
        <f t="shared" si="77"/>
        <v>0</v>
      </c>
      <c r="U283" s="250"/>
      <c r="V283" s="415">
        <v>277</v>
      </c>
      <c r="W283" t="s">
        <v>1427</v>
      </c>
      <c r="X283" t="s">
        <v>1596</v>
      </c>
      <c r="Y283" s="364">
        <v>-59708.753303999998</v>
      </c>
      <c r="Z283" s="364">
        <v>-44586.923548000006</v>
      </c>
      <c r="AA283" s="369">
        <v>-48948.54823</v>
      </c>
      <c r="AB283" s="505">
        <v>-11416.650664000001</v>
      </c>
      <c r="AC283" s="350">
        <f t="shared" si="78"/>
        <v>-164660.87574600003</v>
      </c>
      <c r="AG283" s="159">
        <f t="shared" si="79"/>
        <v>0</v>
      </c>
      <c r="AI283" s="442" t="s">
        <v>1427</v>
      </c>
      <c r="AJ283" t="s">
        <v>1596</v>
      </c>
      <c r="AK283" s="364">
        <v>0</v>
      </c>
      <c r="AL283" s="364">
        <v>-44586.923548000006</v>
      </c>
      <c r="AM283" s="369">
        <v>-48948.54823</v>
      </c>
      <c r="AN283" s="505">
        <v>-11416.650664000001</v>
      </c>
      <c r="AO283" s="448">
        <v>-212567.22508200002</v>
      </c>
      <c r="AP283" s="448"/>
      <c r="AQ283" s="438"/>
      <c r="AR283" s="449">
        <f t="shared" si="80"/>
        <v>-104952.12244200001</v>
      </c>
      <c r="AS283" s="438"/>
      <c r="AT283" s="438"/>
      <c r="AU283" s="364">
        <v>-44586.923548000006</v>
      </c>
      <c r="AV283" s="369">
        <v>-48948.54823</v>
      </c>
      <c r="AW283" s="505">
        <v>-11416.650664000001</v>
      </c>
      <c r="AX283" s="452">
        <f t="shared" si="81"/>
        <v>-104952.12244200001</v>
      </c>
      <c r="AY283" s="250">
        <f t="shared" si="64"/>
        <v>0</v>
      </c>
      <c r="AZ283" s="439"/>
      <c r="BA283" s="582">
        <v>-12610.286843999995</v>
      </c>
      <c r="BB283" s="462">
        <f t="shared" si="76"/>
        <v>-117562.40928600001</v>
      </c>
      <c r="BC283" s="463">
        <f t="shared" si="68"/>
        <v>0</v>
      </c>
      <c r="BD283" s="431"/>
      <c r="BE283" s="435">
        <f t="shared" si="73"/>
        <v>0</v>
      </c>
    </row>
    <row r="284" spans="1:57" ht="15">
      <c r="A284" s="415">
        <v>278</v>
      </c>
      <c r="B284" s="415">
        <v>119</v>
      </c>
      <c r="C284" t="s">
        <v>1476</v>
      </c>
      <c r="D284" t="s">
        <v>1613</v>
      </c>
      <c r="E284" s="364">
        <v>-44713.510000000009</v>
      </c>
      <c r="F284" s="364">
        <v>-55224.745999999992</v>
      </c>
      <c r="G284" s="369">
        <v>-52562.300738999969</v>
      </c>
      <c r="H284" s="364">
        <v>-93611.184015000035</v>
      </c>
      <c r="I284" s="350">
        <f t="shared" si="74"/>
        <v>-246111.740754</v>
      </c>
      <c r="K284" s="66">
        <f t="shared" si="75"/>
        <v>0</v>
      </c>
      <c r="L284" s="66"/>
      <c r="M284" s="415">
        <v>278</v>
      </c>
      <c r="N284" s="415">
        <v>119</v>
      </c>
      <c r="O284" s="66" t="s">
        <v>1476</v>
      </c>
      <c r="P284" t="s">
        <v>1613</v>
      </c>
      <c r="Q284" s="364">
        <v>-93611.184015000035</v>
      </c>
      <c r="R284" t="s">
        <v>2580</v>
      </c>
      <c r="S284" s="250"/>
      <c r="T284" s="159">
        <f t="shared" si="77"/>
        <v>0</v>
      </c>
      <c r="U284" s="250"/>
      <c r="V284" s="415">
        <v>278</v>
      </c>
      <c r="W284" t="s">
        <v>1476</v>
      </c>
      <c r="X284" t="s">
        <v>1613</v>
      </c>
      <c r="Y284" s="364">
        <v>-70812.493999999992</v>
      </c>
      <c r="Z284" s="364">
        <v>-44713.510000000009</v>
      </c>
      <c r="AA284" s="369">
        <v>-55224.745999999992</v>
      </c>
      <c r="AB284" s="505">
        <v>-52562.300738999969</v>
      </c>
      <c r="AC284" s="350">
        <f t="shared" si="78"/>
        <v>-223313.05073899997</v>
      </c>
      <c r="AG284" s="159">
        <f t="shared" si="79"/>
        <v>0</v>
      </c>
      <c r="AI284" s="442" t="s">
        <v>1476</v>
      </c>
      <c r="AJ284" t="s">
        <v>1613</v>
      </c>
      <c r="AK284" s="364">
        <v>0</v>
      </c>
      <c r="AL284" s="364">
        <v>-44713.510000000009</v>
      </c>
      <c r="AM284" s="369">
        <v>-55224.745999999992</v>
      </c>
      <c r="AN284" s="505">
        <v>-52562.300738999969</v>
      </c>
      <c r="AO284" s="448">
        <v>-261404.91999999998</v>
      </c>
      <c r="AP284" s="448"/>
      <c r="AQ284" s="438"/>
      <c r="AR284" s="449">
        <f t="shared" si="80"/>
        <v>-152500.55673899996</v>
      </c>
      <c r="AS284" s="438"/>
      <c r="AT284" s="438"/>
      <c r="AU284" s="364">
        <v>-44713.510000000009</v>
      </c>
      <c r="AV284" s="369">
        <v>-55224.745999999992</v>
      </c>
      <c r="AW284" s="505">
        <v>-52562.300738999969</v>
      </c>
      <c r="AX284" s="452">
        <f t="shared" si="81"/>
        <v>-152500.55673899996</v>
      </c>
      <c r="AY284" s="250">
        <f t="shared" ref="AY284:AY336" si="82">+AX284-AR284</f>
        <v>0</v>
      </c>
      <c r="AZ284" s="439"/>
      <c r="BA284" s="582">
        <v>-93611.184015000035</v>
      </c>
      <c r="BB284" s="462">
        <f t="shared" si="76"/>
        <v>-246111.740754</v>
      </c>
      <c r="BC284" s="463">
        <f t="shared" si="68"/>
        <v>0</v>
      </c>
      <c r="BD284" s="431"/>
      <c r="BE284" s="435">
        <f t="shared" si="73"/>
        <v>0</v>
      </c>
    </row>
    <row r="285" spans="1:57" ht="15">
      <c r="A285" s="415">
        <v>279</v>
      </c>
      <c r="B285" s="415">
        <v>201</v>
      </c>
      <c r="C285" t="s">
        <v>515</v>
      </c>
      <c r="D285" t="s">
        <v>987</v>
      </c>
      <c r="E285" s="364">
        <v>1013736.3523773985</v>
      </c>
      <c r="F285" s="364">
        <v>121559.30401311992</v>
      </c>
      <c r="G285" s="369">
        <v>-270799.58294400014</v>
      </c>
      <c r="H285" s="364">
        <v>-214215.93379092775</v>
      </c>
      <c r="I285" s="350">
        <f t="shared" si="74"/>
        <v>650280.13965559052</v>
      </c>
      <c r="K285" s="66">
        <f t="shared" si="75"/>
        <v>0</v>
      </c>
      <c r="L285" s="66"/>
      <c r="M285" s="415">
        <v>279</v>
      </c>
      <c r="N285" s="415">
        <v>201</v>
      </c>
      <c r="O285" s="66" t="s">
        <v>515</v>
      </c>
      <c r="P285" t="s">
        <v>987</v>
      </c>
      <c r="Q285" s="364">
        <v>-214215.93379092775</v>
      </c>
      <c r="R285" t="s">
        <v>2580</v>
      </c>
      <c r="S285" s="250"/>
      <c r="T285" s="159">
        <f t="shared" si="77"/>
        <v>0</v>
      </c>
      <c r="U285" s="250"/>
      <c r="V285" s="415">
        <v>279</v>
      </c>
      <c r="W285" t="s">
        <v>515</v>
      </c>
      <c r="X285" t="s">
        <v>987</v>
      </c>
      <c r="Y285" s="364">
        <v>-371857.04156399926</v>
      </c>
      <c r="Z285" s="364">
        <v>1385593.3939413978</v>
      </c>
      <c r="AA285" s="369">
        <v>121559.30401311992</v>
      </c>
      <c r="AB285" s="505">
        <v>-270799.58294400014</v>
      </c>
      <c r="AC285" s="350">
        <f t="shared" si="78"/>
        <v>864496.07344651828</v>
      </c>
      <c r="AG285" s="159">
        <f t="shared" si="79"/>
        <v>0</v>
      </c>
      <c r="AI285" s="442" t="s">
        <v>515</v>
      </c>
      <c r="AJ285" t="s">
        <v>987</v>
      </c>
      <c r="AK285" s="364">
        <v>0</v>
      </c>
      <c r="AL285" s="450">
        <v>1013736.3523773985</v>
      </c>
      <c r="AM285" s="369">
        <v>121559.30401311992</v>
      </c>
      <c r="AN285" s="505">
        <v>-270799.58294400014</v>
      </c>
      <c r="AO285" s="448">
        <v>1135295.6563905184</v>
      </c>
      <c r="AP285" s="450">
        <v>1013736.3523773985</v>
      </c>
      <c r="AQ285" s="438"/>
      <c r="AR285" s="449">
        <f t="shared" si="80"/>
        <v>864496.07344651828</v>
      </c>
      <c r="AS285" s="438"/>
      <c r="AT285" s="438"/>
      <c r="AU285" s="450">
        <v>1013736.3523773985</v>
      </c>
      <c r="AV285" s="369">
        <v>121559.30401311992</v>
      </c>
      <c r="AW285" s="505">
        <v>-270799.58294400014</v>
      </c>
      <c r="AX285" s="452">
        <f t="shared" si="81"/>
        <v>864496.07344651828</v>
      </c>
      <c r="AY285" s="250">
        <f t="shared" si="82"/>
        <v>0</v>
      </c>
      <c r="AZ285" s="439"/>
      <c r="BA285" s="582">
        <v>-214215.93379092775</v>
      </c>
      <c r="BB285" s="462">
        <f t="shared" si="76"/>
        <v>650280.13965559052</v>
      </c>
      <c r="BC285" s="463">
        <f t="shared" si="68"/>
        <v>0</v>
      </c>
      <c r="BD285" s="431"/>
      <c r="BE285" s="435">
        <f t="shared" si="73"/>
        <v>0</v>
      </c>
    </row>
    <row r="286" spans="1:57" ht="15">
      <c r="A286" s="415">
        <v>280</v>
      </c>
      <c r="B286" s="415">
        <v>321</v>
      </c>
      <c r="C286" t="s">
        <v>724</v>
      </c>
      <c r="D286" t="s">
        <v>1074</v>
      </c>
      <c r="E286" s="364">
        <v>-540206.5966409985</v>
      </c>
      <c r="F286" s="364">
        <v>-501723.61128599953</v>
      </c>
      <c r="G286" s="369">
        <v>-631325.0601320006</v>
      </c>
      <c r="H286" s="364">
        <v>-1091358.0050140005</v>
      </c>
      <c r="I286" s="350">
        <f t="shared" si="74"/>
        <v>-2764613.273072999</v>
      </c>
      <c r="K286" s="66">
        <f t="shared" si="75"/>
        <v>0</v>
      </c>
      <c r="L286" s="66"/>
      <c r="M286" s="415">
        <v>280</v>
      </c>
      <c r="N286" s="415">
        <v>321</v>
      </c>
      <c r="O286" s="66" t="s">
        <v>724</v>
      </c>
      <c r="P286" t="s">
        <v>1074</v>
      </c>
      <c r="Q286" s="364">
        <v>-1091358.0050140005</v>
      </c>
      <c r="R286" t="s">
        <v>2580</v>
      </c>
      <c r="S286" s="250"/>
      <c r="T286" s="159">
        <f t="shared" si="77"/>
        <v>0</v>
      </c>
      <c r="U286" s="250"/>
      <c r="V286" s="415">
        <v>280</v>
      </c>
      <c r="W286" t="s">
        <v>724</v>
      </c>
      <c r="X286" t="s">
        <v>1074</v>
      </c>
      <c r="Y286" s="364">
        <v>-1658863.9974180001</v>
      </c>
      <c r="Z286" s="364">
        <v>-540206.5966409985</v>
      </c>
      <c r="AA286" s="369">
        <v>-501723.61128599953</v>
      </c>
      <c r="AB286" s="505">
        <v>-631325.0601320006</v>
      </c>
      <c r="AC286" s="350">
        <f t="shared" si="78"/>
        <v>-3332119.2654769989</v>
      </c>
      <c r="AG286" s="159">
        <f t="shared" si="79"/>
        <v>0</v>
      </c>
      <c r="AI286" s="442" t="s">
        <v>724</v>
      </c>
      <c r="AJ286" t="s">
        <v>1074</v>
      </c>
      <c r="AK286" s="364">
        <v>0</v>
      </c>
      <c r="AL286" s="364">
        <v>-540206.5966409985</v>
      </c>
      <c r="AM286" s="369">
        <v>-501723.61128599953</v>
      </c>
      <c r="AN286" s="505">
        <v>-631325.0601320006</v>
      </c>
      <c r="AO286" s="448">
        <v>-3481432.7053449983</v>
      </c>
      <c r="AP286" s="448"/>
      <c r="AQ286" s="438"/>
      <c r="AR286" s="449">
        <f t="shared" si="80"/>
        <v>-1673255.2680589985</v>
      </c>
      <c r="AS286" s="438"/>
      <c r="AT286" s="438"/>
      <c r="AU286" s="364">
        <v>-540206.5966409985</v>
      </c>
      <c r="AV286" s="369">
        <v>-501723.61128599953</v>
      </c>
      <c r="AW286" s="505">
        <v>-631325.0601320006</v>
      </c>
      <c r="AX286" s="452">
        <f t="shared" si="81"/>
        <v>-1673255.2680589985</v>
      </c>
      <c r="AY286" s="250">
        <f t="shared" si="82"/>
        <v>0</v>
      </c>
      <c r="AZ286" s="439"/>
      <c r="BA286" s="582">
        <v>-1091358.0050140005</v>
      </c>
      <c r="BB286" s="462">
        <f t="shared" si="76"/>
        <v>-2764613.273072999</v>
      </c>
      <c r="BC286" s="463">
        <f t="shared" si="68"/>
        <v>0</v>
      </c>
      <c r="BD286" s="431"/>
      <c r="BE286" s="435">
        <f t="shared" si="73"/>
        <v>0</v>
      </c>
    </row>
    <row r="287" spans="1:57" ht="15">
      <c r="A287" s="415">
        <v>281</v>
      </c>
      <c r="B287" s="415">
        <v>133</v>
      </c>
      <c r="C287" s="345" t="s">
        <v>1177</v>
      </c>
      <c r="D287" s="346" t="s">
        <v>1189</v>
      </c>
      <c r="E287" s="364"/>
      <c r="F287" s="364"/>
      <c r="G287" s="369">
        <v>-86079.499064999996</v>
      </c>
      <c r="H287" s="364"/>
      <c r="I287" s="350">
        <f t="shared" si="74"/>
        <v>-86079.499064999996</v>
      </c>
      <c r="K287" s="66">
        <f t="shared" si="75"/>
        <v>0</v>
      </c>
      <c r="L287" s="66"/>
      <c r="M287" s="415">
        <v>281</v>
      </c>
      <c r="N287" s="415">
        <v>133</v>
      </c>
      <c r="O287" s="345" t="s">
        <v>1177</v>
      </c>
      <c r="P287" s="346" t="s">
        <v>1189</v>
      </c>
      <c r="Q287" s="364"/>
      <c r="R287" t="s">
        <v>2580</v>
      </c>
      <c r="S287" s="250"/>
      <c r="T287" s="159">
        <f t="shared" si="77"/>
        <v>0</v>
      </c>
      <c r="U287" s="250"/>
      <c r="V287" s="415">
        <v>281</v>
      </c>
      <c r="W287" s="345" t="s">
        <v>1177</v>
      </c>
      <c r="X287" s="346" t="s">
        <v>1189</v>
      </c>
      <c r="Y287" s="364">
        <v>0</v>
      </c>
      <c r="Z287" s="364"/>
      <c r="AA287" s="369"/>
      <c r="AB287" s="505">
        <v>-86079.499064999996</v>
      </c>
      <c r="AC287" s="350">
        <f t="shared" si="78"/>
        <v>-86079.499064999996</v>
      </c>
      <c r="AG287" s="159">
        <f t="shared" si="79"/>
        <v>0</v>
      </c>
      <c r="AI287" s="442" t="s">
        <v>1177</v>
      </c>
      <c r="AJ287" s="346" t="s">
        <v>1189</v>
      </c>
      <c r="AK287" s="364">
        <v>0</v>
      </c>
      <c r="AL287" s="364"/>
      <c r="AM287" s="369"/>
      <c r="AN287" s="505">
        <v>-86079.499064999996</v>
      </c>
      <c r="AO287" s="448">
        <v>0</v>
      </c>
      <c r="AP287" s="448"/>
      <c r="AQ287" s="438"/>
      <c r="AR287" s="449">
        <f t="shared" si="80"/>
        <v>-86079.499064999996</v>
      </c>
      <c r="AS287" s="438"/>
      <c r="AT287" s="438"/>
      <c r="AU287" s="364"/>
      <c r="AV287" s="369"/>
      <c r="AW287" s="505">
        <v>-86079.499064999996</v>
      </c>
      <c r="AX287" s="452">
        <f t="shared" si="81"/>
        <v>-86079.499064999996</v>
      </c>
      <c r="AY287" s="250">
        <f t="shared" si="82"/>
        <v>0</v>
      </c>
      <c r="AZ287" s="439"/>
      <c r="BA287" s="582"/>
      <c r="BB287" s="462">
        <f t="shared" si="76"/>
        <v>-86079.499064999996</v>
      </c>
      <c r="BC287" s="463">
        <f t="shared" si="68"/>
        <v>0</v>
      </c>
      <c r="BD287" s="431"/>
      <c r="BE287" s="435">
        <f t="shared" si="73"/>
        <v>0</v>
      </c>
    </row>
    <row r="288" spans="1:57" ht="15">
      <c r="A288" s="415">
        <v>282</v>
      </c>
      <c r="B288" s="415">
        <v>198</v>
      </c>
      <c r="C288" t="s">
        <v>509</v>
      </c>
      <c r="D288" t="s">
        <v>984</v>
      </c>
      <c r="E288" s="364">
        <v>-2695722.0426317044</v>
      </c>
      <c r="F288" s="364">
        <v>-2975047.5678945817</v>
      </c>
      <c r="G288" s="369">
        <v>-4584046.9748560041</v>
      </c>
      <c r="H288" s="364">
        <v>-3705223.755512543</v>
      </c>
      <c r="I288" s="350">
        <f t="shared" si="74"/>
        <v>-13960040.340894833</v>
      </c>
      <c r="K288" s="66">
        <f t="shared" si="75"/>
        <v>0</v>
      </c>
      <c r="L288" s="66"/>
      <c r="M288" s="415">
        <v>282</v>
      </c>
      <c r="N288" s="415">
        <v>198</v>
      </c>
      <c r="O288" s="66" t="s">
        <v>509</v>
      </c>
      <c r="P288" t="s">
        <v>984</v>
      </c>
      <c r="Q288" s="364">
        <v>-3705223.755512543</v>
      </c>
      <c r="R288" t="s">
        <v>2580</v>
      </c>
      <c r="S288" s="250"/>
      <c r="T288" s="159">
        <f t="shared" si="77"/>
        <v>0</v>
      </c>
      <c r="U288" s="250"/>
      <c r="V288" s="415">
        <v>282</v>
      </c>
      <c r="W288" t="s">
        <v>509</v>
      </c>
      <c r="X288" t="s">
        <v>984</v>
      </c>
      <c r="Y288" s="364">
        <v>-5950973.99039998</v>
      </c>
      <c r="Z288" s="364">
        <v>-2695722.0426317044</v>
      </c>
      <c r="AA288" s="369">
        <v>-2975047.5678945817</v>
      </c>
      <c r="AB288" s="505">
        <v>-4584046.9748560041</v>
      </c>
      <c r="AC288" s="350">
        <f t="shared" si="78"/>
        <v>-16205790.575782269</v>
      </c>
      <c r="AG288" s="159">
        <f t="shared" si="79"/>
        <v>0</v>
      </c>
      <c r="AI288" s="442" t="s">
        <v>509</v>
      </c>
      <c r="AJ288" t="s">
        <v>984</v>
      </c>
      <c r="AK288" s="364">
        <v>0</v>
      </c>
      <c r="AL288" s="364">
        <v>-2695722.0426317044</v>
      </c>
      <c r="AM288" s="369">
        <v>-2975047.5678945817</v>
      </c>
      <c r="AN288" s="505">
        <v>-4584046.9748560041</v>
      </c>
      <c r="AO288" s="448">
        <v>-14662886.710926266</v>
      </c>
      <c r="AP288" s="448"/>
      <c r="AQ288" s="438"/>
      <c r="AR288" s="449">
        <f t="shared" si="80"/>
        <v>-10254816.58538229</v>
      </c>
      <c r="AS288" s="438"/>
      <c r="AT288" s="438"/>
      <c r="AU288" s="364">
        <v>-2695722.0426317044</v>
      </c>
      <c r="AV288" s="369">
        <v>-2975047.5678945817</v>
      </c>
      <c r="AW288" s="505">
        <v>-4584046.9748560041</v>
      </c>
      <c r="AX288" s="452">
        <f t="shared" si="81"/>
        <v>-10254816.58538229</v>
      </c>
      <c r="AY288" s="250">
        <f t="shared" si="82"/>
        <v>0</v>
      </c>
      <c r="AZ288" s="439"/>
      <c r="BA288" s="582">
        <v>-3705223.755512543</v>
      </c>
      <c r="BB288" s="462">
        <f t="shared" si="76"/>
        <v>-13960040.340894833</v>
      </c>
      <c r="BC288" s="463">
        <f t="shared" si="68"/>
        <v>0</v>
      </c>
      <c r="BD288" s="431"/>
      <c r="BE288" s="435">
        <f t="shared" si="73"/>
        <v>0</v>
      </c>
    </row>
    <row r="289" spans="1:57" ht="15">
      <c r="A289" s="415">
        <v>283</v>
      </c>
      <c r="B289" s="415">
        <v>82</v>
      </c>
      <c r="C289" t="s">
        <v>309</v>
      </c>
      <c r="D289" t="s">
        <v>892</v>
      </c>
      <c r="E289" s="364">
        <v>-250743.15007599996</v>
      </c>
      <c r="F289" s="364">
        <v>-214489.59792000003</v>
      </c>
      <c r="G289" s="369">
        <v>-259429.24068299998</v>
      </c>
      <c r="H289" s="364">
        <v>-217140.99762099999</v>
      </c>
      <c r="I289" s="350">
        <f t="shared" si="74"/>
        <v>-941802.98629999999</v>
      </c>
      <c r="K289" s="66">
        <f t="shared" si="75"/>
        <v>0</v>
      </c>
      <c r="L289" s="66"/>
      <c r="M289" s="415">
        <v>283</v>
      </c>
      <c r="N289" s="415">
        <v>82</v>
      </c>
      <c r="O289" s="66" t="s">
        <v>309</v>
      </c>
      <c r="P289" t="s">
        <v>892</v>
      </c>
      <c r="Q289" s="364">
        <v>-217140.99762099999</v>
      </c>
      <c r="R289" t="s">
        <v>2580</v>
      </c>
      <c r="S289" s="250"/>
      <c r="T289" s="159">
        <f t="shared" si="77"/>
        <v>0</v>
      </c>
      <c r="U289" s="250"/>
      <c r="V289" s="415">
        <v>283</v>
      </c>
      <c r="W289" t="s">
        <v>309</v>
      </c>
      <c r="X289" t="s">
        <v>892</v>
      </c>
      <c r="Y289" s="364">
        <v>-257745.80747000006</v>
      </c>
      <c r="Z289" s="364">
        <v>-250743.15007599996</v>
      </c>
      <c r="AA289" s="369">
        <v>-214489.59792000003</v>
      </c>
      <c r="AB289" s="505">
        <v>-259429.24068299998</v>
      </c>
      <c r="AC289" s="350">
        <f t="shared" si="78"/>
        <v>-982407.79614899994</v>
      </c>
      <c r="AG289" s="159">
        <f t="shared" si="79"/>
        <v>0</v>
      </c>
      <c r="AI289" s="442" t="s">
        <v>309</v>
      </c>
      <c r="AJ289" t="s">
        <v>892</v>
      </c>
      <c r="AK289" s="364">
        <v>0</v>
      </c>
      <c r="AL289" s="364">
        <v>-250743.15007599996</v>
      </c>
      <c r="AM289" s="369">
        <v>-214489.59792000003</v>
      </c>
      <c r="AN289" s="505">
        <v>-259429.24068299998</v>
      </c>
      <c r="AO289" s="448">
        <v>-917810.64546600007</v>
      </c>
      <c r="AP289" s="448"/>
      <c r="AQ289" s="438"/>
      <c r="AR289" s="449">
        <f t="shared" si="80"/>
        <v>-724661.98867899994</v>
      </c>
      <c r="AS289" s="438"/>
      <c r="AT289" s="438"/>
      <c r="AU289" s="364">
        <v>-250743.15007599996</v>
      </c>
      <c r="AV289" s="369">
        <v>-214489.59792000003</v>
      </c>
      <c r="AW289" s="505">
        <v>-259429.24068299998</v>
      </c>
      <c r="AX289" s="452">
        <f t="shared" si="81"/>
        <v>-724661.98867899994</v>
      </c>
      <c r="AY289" s="250">
        <f t="shared" si="82"/>
        <v>0</v>
      </c>
      <c r="AZ289" s="439"/>
      <c r="BA289" s="582">
        <v>-217140.99762099999</v>
      </c>
      <c r="BB289" s="462">
        <f t="shared" si="76"/>
        <v>-941802.98629999999</v>
      </c>
      <c r="BC289" s="463">
        <f t="shared" si="68"/>
        <v>0</v>
      </c>
      <c r="BD289" s="431"/>
      <c r="BE289" s="435">
        <f t="shared" si="73"/>
        <v>0</v>
      </c>
    </row>
    <row r="290" spans="1:57" ht="15">
      <c r="A290" s="415">
        <v>284</v>
      </c>
      <c r="B290" s="415">
        <v>109</v>
      </c>
      <c r="C290" t="s">
        <v>361</v>
      </c>
      <c r="D290" t="s">
        <v>918</v>
      </c>
      <c r="E290" s="364">
        <v>0</v>
      </c>
      <c r="F290" s="364">
        <v>-197538.90419800041</v>
      </c>
      <c r="G290" s="369">
        <v>-378838.68312100088</v>
      </c>
      <c r="H290" s="364">
        <v>-585030.06518799998</v>
      </c>
      <c r="I290" s="350">
        <f t="shared" si="74"/>
        <v>-1161407.6525070013</v>
      </c>
      <c r="K290" s="66">
        <f t="shared" si="75"/>
        <v>0</v>
      </c>
      <c r="L290" s="66"/>
      <c r="M290" s="415">
        <v>284</v>
      </c>
      <c r="N290" s="415">
        <v>109</v>
      </c>
      <c r="O290" s="66" t="s">
        <v>361</v>
      </c>
      <c r="P290" t="s">
        <v>918</v>
      </c>
      <c r="Q290" s="364">
        <v>-585030.06518799998</v>
      </c>
      <c r="R290" t="s">
        <v>2580</v>
      </c>
      <c r="S290" s="250"/>
      <c r="T290" s="159">
        <f t="shared" si="77"/>
        <v>0</v>
      </c>
      <c r="U290" s="250"/>
      <c r="V290" s="415">
        <v>284</v>
      </c>
      <c r="W290" t="s">
        <v>361</v>
      </c>
      <c r="X290" t="s">
        <v>918</v>
      </c>
      <c r="Y290" s="364">
        <v>-558746.50160000031</v>
      </c>
      <c r="Z290" s="364">
        <v>30423.405499999644</v>
      </c>
      <c r="AA290" s="369">
        <v>-197538.90419800041</v>
      </c>
      <c r="AB290" s="505">
        <v>-378838.68312100088</v>
      </c>
      <c r="AC290" s="350">
        <f t="shared" si="78"/>
        <v>-1104700.683419002</v>
      </c>
      <c r="AG290" s="159">
        <f t="shared" si="79"/>
        <v>0</v>
      </c>
      <c r="AI290" s="442" t="s">
        <v>361</v>
      </c>
      <c r="AJ290" t="s">
        <v>918</v>
      </c>
      <c r="AK290" s="364">
        <v>0</v>
      </c>
      <c r="AL290" s="364">
        <v>0</v>
      </c>
      <c r="AM290" s="369">
        <v>-197538.90419800041</v>
      </c>
      <c r="AN290" s="505">
        <v>-378838.68312100088</v>
      </c>
      <c r="AO290" s="448">
        <v>-725862.00029800099</v>
      </c>
      <c r="AP290" s="450"/>
      <c r="AQ290" s="438"/>
      <c r="AR290" s="449">
        <f t="shared" si="80"/>
        <v>-576377.58731900132</v>
      </c>
      <c r="AS290" s="438"/>
      <c r="AT290" s="438"/>
      <c r="AU290" s="364">
        <v>0</v>
      </c>
      <c r="AV290" s="369">
        <v>-197538.90419800041</v>
      </c>
      <c r="AW290" s="505">
        <v>-378838.68312100088</v>
      </c>
      <c r="AX290" s="452">
        <f t="shared" si="81"/>
        <v>-576377.58731900132</v>
      </c>
      <c r="AY290" s="250">
        <f t="shared" si="82"/>
        <v>0</v>
      </c>
      <c r="AZ290" s="439"/>
      <c r="BA290" s="582">
        <v>-585030.06518799998</v>
      </c>
      <c r="BB290" s="462">
        <f t="shared" si="76"/>
        <v>-1161407.6525070013</v>
      </c>
      <c r="BC290" s="463">
        <f t="shared" si="68"/>
        <v>0</v>
      </c>
      <c r="BD290" s="431"/>
      <c r="BE290" s="435">
        <f t="shared" si="73"/>
        <v>0</v>
      </c>
    </row>
    <row r="291" spans="1:57" ht="15">
      <c r="A291" s="415">
        <v>285</v>
      </c>
      <c r="B291" s="415">
        <v>303</v>
      </c>
      <c r="C291" t="s">
        <v>689</v>
      </c>
      <c r="D291" t="s">
        <v>1060</v>
      </c>
      <c r="E291" s="364">
        <v>-53871.693883999993</v>
      </c>
      <c r="F291" s="364">
        <v>0</v>
      </c>
      <c r="G291" s="369">
        <v>-15490.49933999998</v>
      </c>
      <c r="H291" s="364">
        <v>-81159.165940999985</v>
      </c>
      <c r="I291" s="350">
        <f t="shared" si="74"/>
        <v>-150521.35916499997</v>
      </c>
      <c r="K291" s="66">
        <f t="shared" si="75"/>
        <v>0</v>
      </c>
      <c r="L291" s="66"/>
      <c r="M291" s="415">
        <v>285</v>
      </c>
      <c r="N291" s="415">
        <v>303</v>
      </c>
      <c r="O291" s="66" t="s">
        <v>689</v>
      </c>
      <c r="P291" t="s">
        <v>1060</v>
      </c>
      <c r="Q291" s="364">
        <v>-81159.165940999985</v>
      </c>
      <c r="R291" t="s">
        <v>2580</v>
      </c>
      <c r="S291" s="250"/>
      <c r="T291" s="159">
        <f t="shared" si="77"/>
        <v>0</v>
      </c>
      <c r="U291" s="250"/>
      <c r="V291" s="415">
        <v>285</v>
      </c>
      <c r="W291" t="s">
        <v>689</v>
      </c>
      <c r="X291" t="s">
        <v>1060</v>
      </c>
      <c r="Y291" s="364">
        <v>-38094.605971999998</v>
      </c>
      <c r="Z291" s="364">
        <v>-53871.693883999993</v>
      </c>
      <c r="AA291" s="369">
        <v>19052.573615999987</v>
      </c>
      <c r="AB291" s="505">
        <v>-15490.49933999998</v>
      </c>
      <c r="AC291" s="350">
        <f t="shared" si="78"/>
        <v>-88404.225579999998</v>
      </c>
      <c r="AG291" s="159">
        <f t="shared" si="79"/>
        <v>0</v>
      </c>
      <c r="AI291" s="442" t="s">
        <v>689</v>
      </c>
      <c r="AJ291" t="s">
        <v>1060</v>
      </c>
      <c r="AK291" s="364">
        <v>0</v>
      </c>
      <c r="AL291" s="364">
        <v>-53871.693883999993</v>
      </c>
      <c r="AM291" s="369">
        <v>0</v>
      </c>
      <c r="AN291" s="505">
        <v>-15490.49933999998</v>
      </c>
      <c r="AO291" s="448">
        <v>-107931.86624</v>
      </c>
      <c r="AP291" s="448"/>
      <c r="AQ291" s="438"/>
      <c r="AR291" s="449">
        <f t="shared" si="80"/>
        <v>-69362.193223999973</v>
      </c>
      <c r="AS291" s="438"/>
      <c r="AT291" s="438"/>
      <c r="AU291" s="364">
        <v>-53871.693883999993</v>
      </c>
      <c r="AV291" s="369">
        <v>0</v>
      </c>
      <c r="AW291" s="505">
        <v>-15490.49933999998</v>
      </c>
      <c r="AX291" s="452">
        <f t="shared" si="81"/>
        <v>-69362.193223999973</v>
      </c>
      <c r="AY291" s="250">
        <f t="shared" si="82"/>
        <v>0</v>
      </c>
      <c r="AZ291" s="439"/>
      <c r="BA291" s="582">
        <v>-81159.165940999985</v>
      </c>
      <c r="BB291" s="462">
        <f t="shared" si="76"/>
        <v>-150521.35916499997</v>
      </c>
      <c r="BC291" s="463">
        <f t="shared" si="68"/>
        <v>0</v>
      </c>
      <c r="BD291" s="431"/>
      <c r="BE291" s="435">
        <f t="shared" si="73"/>
        <v>0</v>
      </c>
    </row>
    <row r="292" spans="1:57" ht="15">
      <c r="A292" s="415">
        <v>286</v>
      </c>
      <c r="B292" s="415">
        <v>281</v>
      </c>
      <c r="C292" t="s">
        <v>654</v>
      </c>
      <c r="D292" t="s">
        <v>1044</v>
      </c>
      <c r="E292" s="364">
        <v>-81288.606354000163</v>
      </c>
      <c r="F292" s="364">
        <v>-278636.95793000003</v>
      </c>
      <c r="G292" s="369">
        <v>-301396.96591000003</v>
      </c>
      <c r="H292" s="364">
        <v>-230724.41703999997</v>
      </c>
      <c r="I292" s="350">
        <f t="shared" si="74"/>
        <v>-892046.9472340002</v>
      </c>
      <c r="K292" s="66">
        <f t="shared" si="75"/>
        <v>0</v>
      </c>
      <c r="L292" s="66"/>
      <c r="M292" s="415">
        <v>286</v>
      </c>
      <c r="N292" s="415">
        <v>281</v>
      </c>
      <c r="O292" s="66" t="s">
        <v>654</v>
      </c>
      <c r="P292" t="s">
        <v>1044</v>
      </c>
      <c r="Q292" s="364">
        <v>-230724.41703999997</v>
      </c>
      <c r="R292" t="s">
        <v>2580</v>
      </c>
      <c r="S292" s="250"/>
      <c r="T292" s="159">
        <f t="shared" si="77"/>
        <v>0</v>
      </c>
      <c r="U292" s="250"/>
      <c r="V292" s="415">
        <v>286</v>
      </c>
      <c r="W292" t="s">
        <v>654</v>
      </c>
      <c r="X292" t="s">
        <v>1044</v>
      </c>
      <c r="Y292" s="364">
        <v>-252215.19486900017</v>
      </c>
      <c r="Z292" s="364">
        <v>-81288.606354000163</v>
      </c>
      <c r="AA292" s="369">
        <v>-278636.95793000003</v>
      </c>
      <c r="AB292" s="505">
        <v>-301396.96591000003</v>
      </c>
      <c r="AC292" s="350">
        <f t="shared" si="78"/>
        <v>-913537.72506300034</v>
      </c>
      <c r="AG292" s="159">
        <f t="shared" si="79"/>
        <v>0</v>
      </c>
      <c r="AI292" s="442" t="s">
        <v>654</v>
      </c>
      <c r="AJ292" t="s">
        <v>1044</v>
      </c>
      <c r="AK292" s="364">
        <v>0</v>
      </c>
      <c r="AL292" s="364">
        <v>-81288.606354000163</v>
      </c>
      <c r="AM292" s="369">
        <v>-278636.95793000003</v>
      </c>
      <c r="AN292" s="505">
        <v>-301396.96591000003</v>
      </c>
      <c r="AO292" s="448">
        <v>-827003.87915300042</v>
      </c>
      <c r="AP292" s="448"/>
      <c r="AQ292" s="438"/>
      <c r="AR292" s="449">
        <f t="shared" si="80"/>
        <v>-661322.53019400022</v>
      </c>
      <c r="AS292" s="438"/>
      <c r="AT292" s="438"/>
      <c r="AU292" s="364">
        <v>-81288.606354000163</v>
      </c>
      <c r="AV292" s="369">
        <v>-278636.95793000003</v>
      </c>
      <c r="AW292" s="505">
        <v>-301396.96591000003</v>
      </c>
      <c r="AX292" s="452">
        <f t="shared" si="81"/>
        <v>-661322.53019400022</v>
      </c>
      <c r="AY292" s="250">
        <f t="shared" si="82"/>
        <v>0</v>
      </c>
      <c r="AZ292" s="439"/>
      <c r="BA292" s="582">
        <v>-230724.41703999997</v>
      </c>
      <c r="BB292" s="462">
        <f t="shared" si="76"/>
        <v>-892046.9472340002</v>
      </c>
      <c r="BC292" s="463">
        <f t="shared" si="68"/>
        <v>0</v>
      </c>
      <c r="BD292" s="431"/>
      <c r="BE292" s="435">
        <f t="shared" si="73"/>
        <v>0</v>
      </c>
    </row>
    <row r="293" spans="1:57" ht="15">
      <c r="A293" s="415">
        <v>287</v>
      </c>
      <c r="B293" s="415">
        <v>136</v>
      </c>
      <c r="C293" t="s">
        <v>388</v>
      </c>
      <c r="D293" t="s">
        <v>930</v>
      </c>
      <c r="E293" s="364">
        <v>-88440.604090000066</v>
      </c>
      <c r="F293" s="364">
        <v>-129800.39143500001</v>
      </c>
      <c r="G293" s="369">
        <v>-188125.33134799998</v>
      </c>
      <c r="H293" s="364">
        <v>-212820.20634</v>
      </c>
      <c r="I293" s="350">
        <f t="shared" si="74"/>
        <v>-619186.53321300005</v>
      </c>
      <c r="K293" s="66">
        <f t="shared" si="75"/>
        <v>0</v>
      </c>
      <c r="L293" s="66"/>
      <c r="M293" s="415">
        <v>287</v>
      </c>
      <c r="N293" s="415">
        <v>136</v>
      </c>
      <c r="O293" s="66" t="s">
        <v>388</v>
      </c>
      <c r="P293" t="s">
        <v>930</v>
      </c>
      <c r="Q293" s="364">
        <v>-212820.20634</v>
      </c>
      <c r="R293" t="s">
        <v>2580</v>
      </c>
      <c r="S293" s="250"/>
      <c r="T293" s="159">
        <f t="shared" si="77"/>
        <v>0</v>
      </c>
      <c r="U293" s="250"/>
      <c r="V293" s="415">
        <v>287</v>
      </c>
      <c r="W293" t="s">
        <v>388</v>
      </c>
      <c r="X293" t="s">
        <v>930</v>
      </c>
      <c r="Y293" s="364">
        <v>-113732.40082400004</v>
      </c>
      <c r="Z293" s="364">
        <v>-88440.604090000066</v>
      </c>
      <c r="AA293" s="369">
        <v>-129800.39143500001</v>
      </c>
      <c r="AB293" s="505">
        <v>-188125.33134799998</v>
      </c>
      <c r="AC293" s="350">
        <f t="shared" si="78"/>
        <v>-520098.72769700008</v>
      </c>
      <c r="AG293" s="159">
        <f t="shared" si="79"/>
        <v>0</v>
      </c>
      <c r="AI293" s="442" t="s">
        <v>388</v>
      </c>
      <c r="AJ293" t="s">
        <v>930</v>
      </c>
      <c r="AK293" s="364">
        <v>0</v>
      </c>
      <c r="AL293" s="364">
        <v>-88440.604090000066</v>
      </c>
      <c r="AM293" s="369">
        <v>-129800.39143500001</v>
      </c>
      <c r="AN293" s="505">
        <v>-188125.33134799998</v>
      </c>
      <c r="AO293" s="448">
        <v>-494275.78634900006</v>
      </c>
      <c r="AP293" s="448"/>
      <c r="AQ293" s="438"/>
      <c r="AR293" s="449">
        <f t="shared" si="80"/>
        <v>-406366.32687300007</v>
      </c>
      <c r="AS293" s="438"/>
      <c r="AT293" s="438"/>
      <c r="AU293" s="364">
        <v>-88440.604090000066</v>
      </c>
      <c r="AV293" s="369">
        <v>-129800.39143500001</v>
      </c>
      <c r="AW293" s="505">
        <v>-188125.33134799998</v>
      </c>
      <c r="AX293" s="452">
        <f t="shared" si="81"/>
        <v>-406366.32687300007</v>
      </c>
      <c r="AY293" s="250">
        <f t="shared" si="82"/>
        <v>0</v>
      </c>
      <c r="AZ293" s="439"/>
      <c r="BA293" s="582">
        <v>-212820.20634</v>
      </c>
      <c r="BB293" s="462">
        <f t="shared" si="76"/>
        <v>-619186.53321300005</v>
      </c>
      <c r="BC293" s="463">
        <f t="shared" si="68"/>
        <v>0</v>
      </c>
      <c r="BD293" s="431"/>
      <c r="BE293" s="435">
        <f t="shared" si="73"/>
        <v>0</v>
      </c>
    </row>
    <row r="294" spans="1:57" ht="15">
      <c r="A294" s="415">
        <v>288</v>
      </c>
      <c r="B294" s="415">
        <v>157</v>
      </c>
      <c r="C294" t="s">
        <v>430</v>
      </c>
      <c r="D294" t="s">
        <v>945</v>
      </c>
      <c r="E294" s="364">
        <v>372.67008100004387</v>
      </c>
      <c r="F294" s="364">
        <v>-75253.215883000026</v>
      </c>
      <c r="G294" s="369">
        <v>17277.808972000086</v>
      </c>
      <c r="H294" s="364">
        <v>-57717.387605999946</v>
      </c>
      <c r="I294" s="350">
        <f t="shared" si="74"/>
        <v>-115320.12443599984</v>
      </c>
      <c r="K294" s="66">
        <f t="shared" si="75"/>
        <v>0</v>
      </c>
      <c r="L294" s="66"/>
      <c r="M294" s="415">
        <v>288</v>
      </c>
      <c r="N294" s="415">
        <v>157</v>
      </c>
      <c r="O294" s="66" t="s">
        <v>430</v>
      </c>
      <c r="P294" t="s">
        <v>945</v>
      </c>
      <c r="Q294" s="364">
        <v>-57717.387605999946</v>
      </c>
      <c r="R294" t="s">
        <v>2580</v>
      </c>
      <c r="S294" s="250"/>
      <c r="T294" s="159">
        <f t="shared" si="77"/>
        <v>0</v>
      </c>
      <c r="U294" s="250"/>
      <c r="V294" s="415">
        <v>288</v>
      </c>
      <c r="W294" t="s">
        <v>430</v>
      </c>
      <c r="X294" t="s">
        <v>945</v>
      </c>
      <c r="Y294" s="364">
        <v>0</v>
      </c>
      <c r="Z294" s="364">
        <v>372.67008100004387</v>
      </c>
      <c r="AA294" s="369">
        <v>-75253.215883000026</v>
      </c>
      <c r="AB294" s="505">
        <v>17277.808972000086</v>
      </c>
      <c r="AC294" s="350">
        <f t="shared" si="78"/>
        <v>-57602.736829999893</v>
      </c>
      <c r="AG294" s="159">
        <f t="shared" si="79"/>
        <v>0</v>
      </c>
      <c r="AI294" s="442" t="s">
        <v>430</v>
      </c>
      <c r="AJ294" t="s">
        <v>945</v>
      </c>
      <c r="AK294" s="364">
        <v>0</v>
      </c>
      <c r="AL294" s="364">
        <v>372.67008100004387</v>
      </c>
      <c r="AM294" s="369">
        <v>-75253.215883000026</v>
      </c>
      <c r="AN294" s="505">
        <v>17277.808972000086</v>
      </c>
      <c r="AO294" s="448">
        <v>-74880.545801999979</v>
      </c>
      <c r="AP294" s="448"/>
      <c r="AQ294" s="438"/>
      <c r="AR294" s="449">
        <f t="shared" si="80"/>
        <v>-57602.736829999893</v>
      </c>
      <c r="AS294" s="438"/>
      <c r="AT294" s="438"/>
      <c r="AU294" s="364">
        <v>372.67008100004387</v>
      </c>
      <c r="AV294" s="369">
        <v>-75253.215883000026</v>
      </c>
      <c r="AW294" s="505">
        <v>17277.808972000086</v>
      </c>
      <c r="AX294" s="452">
        <f t="shared" si="81"/>
        <v>-57602.736829999893</v>
      </c>
      <c r="AY294" s="250">
        <f t="shared" si="82"/>
        <v>0</v>
      </c>
      <c r="AZ294" s="439"/>
      <c r="BA294" s="582">
        <v>-57717.387605999946</v>
      </c>
      <c r="BB294" s="462">
        <f t="shared" si="76"/>
        <v>-115320.12443599984</v>
      </c>
      <c r="BC294" s="463">
        <f t="shared" si="68"/>
        <v>0</v>
      </c>
      <c r="BD294" s="431"/>
      <c r="BE294" s="435">
        <f t="shared" si="73"/>
        <v>0</v>
      </c>
    </row>
    <row r="295" spans="1:57" ht="15">
      <c r="A295" s="415">
        <v>289</v>
      </c>
      <c r="B295" s="415">
        <v>184</v>
      </c>
      <c r="C295" t="s">
        <v>484</v>
      </c>
      <c r="D295" t="s">
        <v>971</v>
      </c>
      <c r="E295" s="364">
        <v>0</v>
      </c>
      <c r="F295" s="364">
        <v>-11160.555087999819</v>
      </c>
      <c r="G295" s="369">
        <v>-89977.460010000039</v>
      </c>
      <c r="H295" s="364">
        <v>-153060.10005000012</v>
      </c>
      <c r="I295" s="350">
        <f t="shared" si="74"/>
        <v>-254198.11514799998</v>
      </c>
      <c r="K295" s="66">
        <f t="shared" si="75"/>
        <v>0</v>
      </c>
      <c r="L295" s="66"/>
      <c r="M295" s="415">
        <v>289</v>
      </c>
      <c r="N295" s="415">
        <v>184</v>
      </c>
      <c r="O295" s="66" t="s">
        <v>484</v>
      </c>
      <c r="P295" t="s">
        <v>971</v>
      </c>
      <c r="Q295" s="364">
        <v>-153060.10005000012</v>
      </c>
      <c r="R295" t="s">
        <v>2580</v>
      </c>
      <c r="S295" s="250"/>
      <c r="T295" s="159">
        <f t="shared" si="77"/>
        <v>0</v>
      </c>
      <c r="U295" s="250"/>
      <c r="V295" s="415">
        <v>289</v>
      </c>
      <c r="W295" t="s">
        <v>484</v>
      </c>
      <c r="X295" t="s">
        <v>971</v>
      </c>
      <c r="Y295" s="364">
        <v>-70261.414079999959</v>
      </c>
      <c r="Z295" s="364">
        <v>0</v>
      </c>
      <c r="AA295" s="369">
        <v>-11160.555087999819</v>
      </c>
      <c r="AB295" s="505">
        <v>-89977.460010000039</v>
      </c>
      <c r="AC295" s="350">
        <f t="shared" si="78"/>
        <v>-171399.42917799982</v>
      </c>
      <c r="AG295" s="159">
        <f t="shared" si="79"/>
        <v>0</v>
      </c>
      <c r="AI295" s="442" t="s">
        <v>484</v>
      </c>
      <c r="AJ295" t="s">
        <v>971</v>
      </c>
      <c r="AK295" s="364">
        <v>0</v>
      </c>
      <c r="AL295" s="364">
        <v>0</v>
      </c>
      <c r="AM295" s="369">
        <v>-11160.555087999819</v>
      </c>
      <c r="AN295" s="505">
        <v>-89977.460010000039</v>
      </c>
      <c r="AO295" s="448">
        <v>-138514.7691679998</v>
      </c>
      <c r="AP295" s="448"/>
      <c r="AQ295" s="438"/>
      <c r="AR295" s="449">
        <f t="shared" si="80"/>
        <v>-101138.01509799986</v>
      </c>
      <c r="AS295" s="438"/>
      <c r="AT295" s="438"/>
      <c r="AU295" s="364">
        <v>0</v>
      </c>
      <c r="AV295" s="369">
        <v>-11160.555087999819</v>
      </c>
      <c r="AW295" s="505">
        <v>-89977.460010000039</v>
      </c>
      <c r="AX295" s="452">
        <f t="shared" si="81"/>
        <v>-101138.01509799986</v>
      </c>
      <c r="AY295" s="250">
        <f t="shared" si="82"/>
        <v>0</v>
      </c>
      <c r="AZ295" s="439"/>
      <c r="BA295" s="582">
        <v>-153060.10005000012</v>
      </c>
      <c r="BB295" s="462">
        <f t="shared" si="76"/>
        <v>-254198.11514799998</v>
      </c>
      <c r="BC295" s="463">
        <f t="shared" si="68"/>
        <v>0</v>
      </c>
      <c r="BD295" s="431"/>
      <c r="BE295" s="435">
        <f t="shared" si="73"/>
        <v>0</v>
      </c>
    </row>
    <row r="296" spans="1:57" ht="15">
      <c r="A296" s="415">
        <v>290</v>
      </c>
      <c r="B296" s="415">
        <v>322</v>
      </c>
      <c r="C296" t="s">
        <v>726</v>
      </c>
      <c r="D296" t="s">
        <v>1075</v>
      </c>
      <c r="E296" s="364">
        <v>-313870.20249000005</v>
      </c>
      <c r="F296" s="364">
        <v>-247391.35688300006</v>
      </c>
      <c r="G296" s="369">
        <v>-356239.78215999994</v>
      </c>
      <c r="H296" s="364">
        <v>102410.75331569556</v>
      </c>
      <c r="I296" s="350">
        <f t="shared" si="74"/>
        <v>-815090.58821730455</v>
      </c>
      <c r="K296" s="66">
        <f t="shared" si="75"/>
        <v>0</v>
      </c>
      <c r="L296" s="66"/>
      <c r="M296" s="415">
        <v>290</v>
      </c>
      <c r="N296" s="415">
        <v>322</v>
      </c>
      <c r="O296" s="66" t="s">
        <v>726</v>
      </c>
      <c r="P296" t="s">
        <v>1075</v>
      </c>
      <c r="Q296" s="364">
        <v>102410.75331569556</v>
      </c>
      <c r="R296" t="s">
        <v>2580</v>
      </c>
      <c r="S296" s="250"/>
      <c r="T296" s="159">
        <f t="shared" si="77"/>
        <v>0</v>
      </c>
      <c r="U296" s="250"/>
      <c r="V296" s="415">
        <v>290</v>
      </c>
      <c r="W296" t="s">
        <v>726</v>
      </c>
      <c r="X296" t="s">
        <v>1075</v>
      </c>
      <c r="Y296" s="364">
        <v>-692240.3835840004</v>
      </c>
      <c r="Z296" s="364">
        <v>-313870.20249000005</v>
      </c>
      <c r="AA296" s="369">
        <v>-247391.35688300006</v>
      </c>
      <c r="AB296" s="505">
        <v>-356239.78215999994</v>
      </c>
      <c r="AC296" s="350">
        <f t="shared" si="78"/>
        <v>-1609741.7251170005</v>
      </c>
      <c r="AG296" s="159">
        <f t="shared" si="79"/>
        <v>0</v>
      </c>
      <c r="AI296" s="442" t="s">
        <v>726</v>
      </c>
      <c r="AJ296" t="s">
        <v>1075</v>
      </c>
      <c r="AK296" s="364">
        <v>0</v>
      </c>
      <c r="AL296" s="364">
        <v>-313870.20249000005</v>
      </c>
      <c r="AM296" s="369">
        <v>-247391.35688300006</v>
      </c>
      <c r="AN296" s="505">
        <v>-356239.78215999994</v>
      </c>
      <c r="AO296" s="448">
        <v>-1747833.1329570005</v>
      </c>
      <c r="AP296" s="448"/>
      <c r="AQ296" s="438"/>
      <c r="AR296" s="449">
        <f t="shared" si="80"/>
        <v>-917501.34153300012</v>
      </c>
      <c r="AS296" s="438"/>
      <c r="AT296" s="438"/>
      <c r="AU296" s="364">
        <v>-313870.20249000005</v>
      </c>
      <c r="AV296" s="369">
        <v>-247391.35688300006</v>
      </c>
      <c r="AW296" s="505">
        <v>-356239.78215999994</v>
      </c>
      <c r="AX296" s="452">
        <f t="shared" si="81"/>
        <v>-917501.34153300012</v>
      </c>
      <c r="AY296" s="250">
        <f t="shared" si="82"/>
        <v>0</v>
      </c>
      <c r="AZ296" s="439"/>
      <c r="BA296" s="582">
        <v>102410.75331569556</v>
      </c>
      <c r="BB296" s="462">
        <f t="shared" si="76"/>
        <v>-815090.58821730455</v>
      </c>
      <c r="BC296" s="463">
        <f t="shared" si="68"/>
        <v>0</v>
      </c>
      <c r="BD296" s="431"/>
      <c r="BE296" s="435">
        <f t="shared" si="73"/>
        <v>0</v>
      </c>
    </row>
    <row r="297" spans="1:57" ht="15">
      <c r="A297" s="415">
        <v>291</v>
      </c>
      <c r="B297" s="415">
        <v>288</v>
      </c>
      <c r="C297" t="s">
        <v>664</v>
      </c>
      <c r="D297" t="s">
        <v>1049</v>
      </c>
      <c r="E297" s="364">
        <v>-155221.78713899996</v>
      </c>
      <c r="F297" s="364">
        <v>-110586.2193</v>
      </c>
      <c r="G297" s="369">
        <v>-133452.24344700002</v>
      </c>
      <c r="H297" s="364">
        <v>-123868.25917499996</v>
      </c>
      <c r="I297" s="350">
        <f t="shared" si="74"/>
        <v>-523128.5090609999</v>
      </c>
      <c r="K297" s="66">
        <f t="shared" si="75"/>
        <v>0</v>
      </c>
      <c r="L297" s="66"/>
      <c r="M297" s="415">
        <v>291</v>
      </c>
      <c r="N297" s="415">
        <v>288</v>
      </c>
      <c r="O297" s="66" t="s">
        <v>664</v>
      </c>
      <c r="P297" t="s">
        <v>1049</v>
      </c>
      <c r="Q297" s="364">
        <v>-123868.25917499996</v>
      </c>
      <c r="R297" t="s">
        <v>2580</v>
      </c>
      <c r="S297" s="250"/>
      <c r="T297" s="159">
        <f t="shared" si="77"/>
        <v>0</v>
      </c>
      <c r="U297" s="250"/>
      <c r="V297" s="415">
        <v>291</v>
      </c>
      <c r="W297" t="s">
        <v>664</v>
      </c>
      <c r="X297" t="s">
        <v>1049</v>
      </c>
      <c r="Y297" s="364">
        <v>-107800.93594200003</v>
      </c>
      <c r="Z297" s="364">
        <v>-155221.78713899996</v>
      </c>
      <c r="AA297" s="369">
        <v>-110586.2193</v>
      </c>
      <c r="AB297" s="505">
        <v>-133452.24344700002</v>
      </c>
      <c r="AC297" s="350">
        <f t="shared" si="78"/>
        <v>-507061.18582799996</v>
      </c>
      <c r="AG297" s="159">
        <f t="shared" si="79"/>
        <v>0</v>
      </c>
      <c r="AI297" s="442" t="s">
        <v>664</v>
      </c>
      <c r="AJ297" t="s">
        <v>1049</v>
      </c>
      <c r="AK297" s="364">
        <v>0</v>
      </c>
      <c r="AL297" s="364">
        <v>-155221.78713899996</v>
      </c>
      <c r="AM297" s="369">
        <v>-110586.2193</v>
      </c>
      <c r="AN297" s="505">
        <v>-133452.24344700002</v>
      </c>
      <c r="AO297" s="448">
        <v>-539791.99238099996</v>
      </c>
      <c r="AP297" s="448"/>
      <c r="AQ297" s="438"/>
      <c r="AR297" s="449">
        <f t="shared" si="80"/>
        <v>-399260.24988599995</v>
      </c>
      <c r="AS297" s="438"/>
      <c r="AT297" s="438"/>
      <c r="AU297" s="364">
        <v>-155221.78713899996</v>
      </c>
      <c r="AV297" s="369">
        <v>-110586.2193</v>
      </c>
      <c r="AW297" s="505">
        <v>-133452.24344700002</v>
      </c>
      <c r="AX297" s="452">
        <f t="shared" si="81"/>
        <v>-399260.24988599995</v>
      </c>
      <c r="AY297" s="250">
        <f t="shared" si="82"/>
        <v>0</v>
      </c>
      <c r="AZ297" s="439"/>
      <c r="BA297" s="582">
        <v>-123868.25917499996</v>
      </c>
      <c r="BB297" s="462">
        <f t="shared" si="76"/>
        <v>-523128.5090609999</v>
      </c>
      <c r="BC297" s="463">
        <f t="shared" si="68"/>
        <v>0</v>
      </c>
      <c r="BD297" s="431"/>
      <c r="BE297" s="435">
        <f t="shared" si="73"/>
        <v>0</v>
      </c>
    </row>
    <row r="298" spans="1:57" ht="15">
      <c r="A298" s="415">
        <v>292</v>
      </c>
      <c r="B298" s="415">
        <v>44</v>
      </c>
      <c r="C298" t="s">
        <v>235</v>
      </c>
      <c r="D298" t="s">
        <v>858</v>
      </c>
      <c r="E298" s="364">
        <v>-3968.4280800000997</v>
      </c>
      <c r="F298" s="364">
        <v>-162158.45517600002</v>
      </c>
      <c r="G298" s="369">
        <v>-128237.93544099998</v>
      </c>
      <c r="H298" s="364">
        <v>-128892.46140999993</v>
      </c>
      <c r="I298" s="350">
        <f t="shared" si="74"/>
        <v>-423257.28010700003</v>
      </c>
      <c r="K298" s="66">
        <f t="shared" si="75"/>
        <v>0</v>
      </c>
      <c r="L298" s="66"/>
      <c r="M298" s="415">
        <v>292</v>
      </c>
      <c r="N298" s="415">
        <v>44</v>
      </c>
      <c r="O298" s="66" t="s">
        <v>235</v>
      </c>
      <c r="P298" t="s">
        <v>858</v>
      </c>
      <c r="Q298" s="364">
        <v>-128892.46140999993</v>
      </c>
      <c r="R298" t="s">
        <v>2580</v>
      </c>
      <c r="S298" s="250"/>
      <c r="T298" s="159">
        <f t="shared" si="77"/>
        <v>0</v>
      </c>
      <c r="U298" s="250"/>
      <c r="V298" s="415">
        <v>292</v>
      </c>
      <c r="W298" t="s">
        <v>235</v>
      </c>
      <c r="X298" t="s">
        <v>858</v>
      </c>
      <c r="Y298" s="364">
        <v>-140978.70752</v>
      </c>
      <c r="Z298" s="364">
        <v>-3968.4280800000997</v>
      </c>
      <c r="AA298" s="369">
        <v>-162158.45517600002</v>
      </c>
      <c r="AB298" s="505">
        <v>-128237.93544099998</v>
      </c>
      <c r="AC298" s="350">
        <f t="shared" si="78"/>
        <v>-435343.52621700009</v>
      </c>
      <c r="AG298" s="159">
        <f t="shared" si="79"/>
        <v>0</v>
      </c>
      <c r="AI298" s="442" t="s">
        <v>235</v>
      </c>
      <c r="AJ298" t="s">
        <v>858</v>
      </c>
      <c r="AK298" s="364">
        <v>0</v>
      </c>
      <c r="AL298" s="364">
        <v>-3968.4280800000997</v>
      </c>
      <c r="AM298" s="369">
        <v>-162158.45517600002</v>
      </c>
      <c r="AN298" s="505">
        <v>-128237.93544099998</v>
      </c>
      <c r="AO298" s="448">
        <v>-415433.79077600013</v>
      </c>
      <c r="AP298" s="448"/>
      <c r="AQ298" s="438"/>
      <c r="AR298" s="449">
        <f t="shared" si="80"/>
        <v>-294364.8186970001</v>
      </c>
      <c r="AS298" s="438"/>
      <c r="AT298" s="438"/>
      <c r="AU298" s="364">
        <v>-3968.4280800000997</v>
      </c>
      <c r="AV298" s="369">
        <v>-162158.45517600002</v>
      </c>
      <c r="AW298" s="505">
        <v>-128237.93544099998</v>
      </c>
      <c r="AX298" s="452">
        <f t="shared" si="81"/>
        <v>-294364.8186970001</v>
      </c>
      <c r="AY298" s="250">
        <f t="shared" si="82"/>
        <v>0</v>
      </c>
      <c r="AZ298" s="439"/>
      <c r="BA298" s="582">
        <v>-128892.46140999993</v>
      </c>
      <c r="BB298" s="462">
        <f t="shared" si="76"/>
        <v>-423257.28010700003</v>
      </c>
      <c r="BC298" s="463">
        <f t="shared" si="68"/>
        <v>0</v>
      </c>
      <c r="BD298" s="431"/>
      <c r="BE298" s="435">
        <f t="shared" si="73"/>
        <v>0</v>
      </c>
    </row>
    <row r="299" spans="1:57" ht="15">
      <c r="A299" s="415">
        <v>293</v>
      </c>
      <c r="B299" s="415">
        <v>143</v>
      </c>
      <c r="C299" s="339" t="s">
        <v>402</v>
      </c>
      <c r="D299" s="340" t="s">
        <v>403</v>
      </c>
      <c r="E299" s="372"/>
      <c r="F299" s="363"/>
      <c r="G299" s="369">
        <v>-105789.84381600001</v>
      </c>
      <c r="H299" s="364">
        <v>-131489.94</v>
      </c>
      <c r="I299" s="350">
        <f t="shared" si="74"/>
        <v>-237279.78381600001</v>
      </c>
      <c r="K299" s="66">
        <f t="shared" si="75"/>
        <v>0</v>
      </c>
      <c r="L299" s="66"/>
      <c r="M299" s="415">
        <v>293</v>
      </c>
      <c r="N299" s="415">
        <v>143</v>
      </c>
      <c r="O299" s="414" t="s">
        <v>402</v>
      </c>
      <c r="P299" s="340" t="s">
        <v>403</v>
      </c>
      <c r="Q299" s="364">
        <v>-131489.94</v>
      </c>
      <c r="R299" t="s">
        <v>2580</v>
      </c>
      <c r="S299" s="250"/>
      <c r="T299" s="159">
        <f t="shared" si="77"/>
        <v>0</v>
      </c>
      <c r="U299" s="250"/>
      <c r="V299" s="415">
        <v>293</v>
      </c>
      <c r="W299" s="339" t="s">
        <v>402</v>
      </c>
      <c r="X299" s="340" t="s">
        <v>403</v>
      </c>
      <c r="Y299" s="372">
        <v>0</v>
      </c>
      <c r="Z299" s="363"/>
      <c r="AA299" s="369"/>
      <c r="AB299" s="505">
        <v>-105789.84381600001</v>
      </c>
      <c r="AC299" s="350">
        <f t="shared" si="78"/>
        <v>-105789.84381600001</v>
      </c>
      <c r="AG299" s="159">
        <f t="shared" si="79"/>
        <v>0</v>
      </c>
      <c r="AI299" s="442" t="s">
        <v>402</v>
      </c>
      <c r="AJ299" s="340" t="s">
        <v>403</v>
      </c>
      <c r="AK299" s="364">
        <v>0</v>
      </c>
      <c r="AL299" s="363"/>
      <c r="AM299" s="369"/>
      <c r="AN299" s="505">
        <v>-105789.84381600001</v>
      </c>
      <c r="AO299" s="448">
        <v>0</v>
      </c>
      <c r="AP299" s="448"/>
      <c r="AQ299" s="438"/>
      <c r="AR299" s="449">
        <f t="shared" si="80"/>
        <v>-105789.84381600001</v>
      </c>
      <c r="AS299" s="438"/>
      <c r="AT299" s="438"/>
      <c r="AU299" s="363"/>
      <c r="AV299" s="369"/>
      <c r="AW299" s="505">
        <v>-105789.84381600001</v>
      </c>
      <c r="AX299" s="452">
        <f t="shared" si="81"/>
        <v>-105789.84381600001</v>
      </c>
      <c r="AY299" s="250">
        <f t="shared" si="82"/>
        <v>0</v>
      </c>
      <c r="AZ299" s="439"/>
      <c r="BA299" s="582">
        <v>-131489.94</v>
      </c>
      <c r="BB299" s="462">
        <f t="shared" si="76"/>
        <v>-237279.78381600001</v>
      </c>
      <c r="BC299" s="463">
        <f t="shared" si="68"/>
        <v>0</v>
      </c>
      <c r="BD299" s="431"/>
      <c r="BE299" s="435">
        <f t="shared" si="73"/>
        <v>0</v>
      </c>
    </row>
    <row r="300" spans="1:57" ht="15">
      <c r="A300" s="415">
        <v>294</v>
      </c>
      <c r="B300" s="415">
        <v>106</v>
      </c>
      <c r="C300" s="525" t="s">
        <v>356</v>
      </c>
      <c r="D300" s="525" t="s">
        <v>915</v>
      </c>
      <c r="E300" s="364">
        <v>0</v>
      </c>
      <c r="F300" s="364">
        <v>-80476.878590148146</v>
      </c>
      <c r="G300" s="369">
        <v>-76031.021571999881</v>
      </c>
      <c r="H300" s="364">
        <v>76268.708944454324</v>
      </c>
      <c r="I300" s="350">
        <f t="shared" si="74"/>
        <v>-80239.191217693704</v>
      </c>
      <c r="K300" s="66">
        <f t="shared" si="75"/>
        <v>0</v>
      </c>
      <c r="L300" s="66"/>
      <c r="M300" s="415">
        <v>294</v>
      </c>
      <c r="N300" s="415">
        <v>106</v>
      </c>
      <c r="O300" s="66" t="s">
        <v>356</v>
      </c>
      <c r="P300" s="525" t="s">
        <v>915</v>
      </c>
      <c r="Q300" s="364">
        <v>76268.708944454324</v>
      </c>
      <c r="R300" t="s">
        <v>2580</v>
      </c>
      <c r="S300" s="250"/>
      <c r="T300" s="159">
        <f t="shared" si="77"/>
        <v>0</v>
      </c>
      <c r="U300" s="250"/>
      <c r="V300" s="415">
        <v>294</v>
      </c>
      <c r="W300" t="s">
        <v>356</v>
      </c>
      <c r="X300" s="525" t="s">
        <v>915</v>
      </c>
      <c r="Y300" s="364">
        <v>-425295.13996328658</v>
      </c>
      <c r="Z300" s="364">
        <v>0</v>
      </c>
      <c r="AA300" s="369">
        <v>-80476.878590148146</v>
      </c>
      <c r="AB300" s="505">
        <v>-76031.021571999881</v>
      </c>
      <c r="AC300" s="350">
        <f t="shared" si="78"/>
        <v>-581803.04012543464</v>
      </c>
      <c r="AG300" s="159">
        <f t="shared" si="79"/>
        <v>0</v>
      </c>
      <c r="AI300" s="442" t="s">
        <v>356</v>
      </c>
      <c r="AJ300" s="525" t="s">
        <v>915</v>
      </c>
      <c r="AK300" s="364">
        <v>0</v>
      </c>
      <c r="AL300" s="364">
        <v>0</v>
      </c>
      <c r="AM300" s="369">
        <v>-80476.878590148146</v>
      </c>
      <c r="AN300" s="505">
        <v>-76031.021571999881</v>
      </c>
      <c r="AO300" s="448">
        <v>-877499.24855343474</v>
      </c>
      <c r="AP300" s="448"/>
      <c r="AQ300" s="438"/>
      <c r="AR300" s="449">
        <f t="shared" si="80"/>
        <v>-156507.90016214803</v>
      </c>
      <c r="AS300" s="438"/>
      <c r="AT300" s="438"/>
      <c r="AU300" s="364">
        <v>0</v>
      </c>
      <c r="AV300" s="369">
        <v>-80476.878590148146</v>
      </c>
      <c r="AW300" s="505">
        <v>-76031.021571999881</v>
      </c>
      <c r="AX300" s="452">
        <f t="shared" si="81"/>
        <v>-156507.90016214803</v>
      </c>
      <c r="AY300" s="250">
        <f t="shared" si="82"/>
        <v>0</v>
      </c>
      <c r="AZ300" s="439"/>
      <c r="BA300" s="582">
        <v>76268.708944454324</v>
      </c>
      <c r="BB300" s="462">
        <f t="shared" si="76"/>
        <v>-80239.191217693704</v>
      </c>
      <c r="BC300" s="463">
        <f t="shared" si="68"/>
        <v>0</v>
      </c>
      <c r="BD300" s="431"/>
      <c r="BE300" s="435">
        <f t="shared" si="73"/>
        <v>0</v>
      </c>
    </row>
    <row r="301" spans="1:57" ht="15">
      <c r="A301" s="415">
        <v>295</v>
      </c>
      <c r="B301" s="415">
        <v>276</v>
      </c>
      <c r="C301" t="s">
        <v>644</v>
      </c>
      <c r="D301" t="s">
        <v>1039</v>
      </c>
      <c r="E301" s="364">
        <v>0</v>
      </c>
      <c r="F301" s="364">
        <v>-637727.89131199988</v>
      </c>
      <c r="G301" s="369">
        <v>-652047.93568000011</v>
      </c>
      <c r="H301" s="364">
        <v>-528823.64828500059</v>
      </c>
      <c r="I301" s="350">
        <f t="shared" si="74"/>
        <v>-1818599.4752770006</v>
      </c>
      <c r="K301" s="66">
        <f t="shared" si="75"/>
        <v>0</v>
      </c>
      <c r="L301" s="66"/>
      <c r="M301" s="415">
        <v>295</v>
      </c>
      <c r="N301" s="415">
        <v>276</v>
      </c>
      <c r="O301" s="66" t="s">
        <v>644</v>
      </c>
      <c r="P301" t="s">
        <v>1039</v>
      </c>
      <c r="Q301" s="364">
        <v>-528823.64828500059</v>
      </c>
      <c r="R301" t="s">
        <v>2580</v>
      </c>
      <c r="S301" s="250"/>
      <c r="T301" s="159">
        <f t="shared" si="77"/>
        <v>0</v>
      </c>
      <c r="U301" s="250"/>
      <c r="V301" s="415">
        <v>295</v>
      </c>
      <c r="W301" t="s">
        <v>644</v>
      </c>
      <c r="X301" t="s">
        <v>1039</v>
      </c>
      <c r="Y301" s="364">
        <v>-759942.60431000008</v>
      </c>
      <c r="Z301" s="364">
        <v>0</v>
      </c>
      <c r="AA301" s="369">
        <v>-637727.89131199988</v>
      </c>
      <c r="AB301" s="505">
        <v>-652047.93568000011</v>
      </c>
      <c r="AC301" s="350">
        <f t="shared" si="78"/>
        <v>-2049718.4313020001</v>
      </c>
      <c r="AG301" s="159">
        <f t="shared" si="79"/>
        <v>0</v>
      </c>
      <c r="AI301" s="442" t="s">
        <v>644</v>
      </c>
      <c r="AJ301" t="s">
        <v>1039</v>
      </c>
      <c r="AK301" s="364">
        <v>0</v>
      </c>
      <c r="AL301" s="364">
        <v>0</v>
      </c>
      <c r="AM301" s="369">
        <v>-637727.89131199988</v>
      </c>
      <c r="AN301" s="505">
        <v>-652047.93568000011</v>
      </c>
      <c r="AO301" s="448">
        <v>-1899329.325622</v>
      </c>
      <c r="AP301" s="448"/>
      <c r="AQ301" s="438"/>
      <c r="AR301" s="449">
        <f t="shared" si="80"/>
        <v>-1289775.826992</v>
      </c>
      <c r="AS301" s="438"/>
      <c r="AT301" s="438"/>
      <c r="AU301" s="364">
        <v>0</v>
      </c>
      <c r="AV301" s="369">
        <v>-637727.89131199988</v>
      </c>
      <c r="AW301" s="505">
        <v>-652047.93568000011</v>
      </c>
      <c r="AX301" s="452">
        <f t="shared" si="81"/>
        <v>-1289775.826992</v>
      </c>
      <c r="AY301" s="250">
        <f t="shared" si="82"/>
        <v>0</v>
      </c>
      <c r="AZ301" s="439"/>
      <c r="BA301" s="582">
        <v>-528823.64828500059</v>
      </c>
      <c r="BB301" s="462">
        <f t="shared" si="76"/>
        <v>-1818599.4752770006</v>
      </c>
      <c r="BC301" s="463">
        <f t="shared" si="68"/>
        <v>0</v>
      </c>
      <c r="BD301" s="431"/>
      <c r="BE301" s="435">
        <f t="shared" si="73"/>
        <v>0</v>
      </c>
    </row>
    <row r="302" spans="1:57" ht="15">
      <c r="A302" s="415">
        <v>296</v>
      </c>
      <c r="B302" s="415">
        <v>314</v>
      </c>
      <c r="C302" s="525" t="s">
        <v>711</v>
      </c>
      <c r="D302" s="525" t="s">
        <v>1068</v>
      </c>
      <c r="E302" s="364">
        <v>-109936.76562600001</v>
      </c>
      <c r="F302" s="364">
        <v>-110798.27932800008</v>
      </c>
      <c r="G302" s="369">
        <v>-76666.52463</v>
      </c>
      <c r="H302" s="364">
        <v>-136552.58688199997</v>
      </c>
      <c r="I302" s="350">
        <f t="shared" si="74"/>
        <v>-433954.15646600007</v>
      </c>
      <c r="K302" s="66">
        <f t="shared" si="75"/>
        <v>0</v>
      </c>
      <c r="L302" s="66"/>
      <c r="M302" s="415">
        <v>296</v>
      </c>
      <c r="N302" s="415">
        <v>314</v>
      </c>
      <c r="O302" s="66" t="s">
        <v>711</v>
      </c>
      <c r="P302" s="525" t="s">
        <v>1068</v>
      </c>
      <c r="Q302" s="364">
        <v>-136552.58688199997</v>
      </c>
      <c r="R302" t="s">
        <v>2580</v>
      </c>
      <c r="S302" s="250"/>
      <c r="T302" s="159">
        <f t="shared" si="77"/>
        <v>0</v>
      </c>
      <c r="U302" s="250"/>
      <c r="V302" s="415">
        <v>296</v>
      </c>
      <c r="W302" t="s">
        <v>711</v>
      </c>
      <c r="X302" s="525" t="s">
        <v>1068</v>
      </c>
      <c r="Y302" s="364">
        <v>-66026.126859999931</v>
      </c>
      <c r="Z302" s="364">
        <v>-109936.76562600001</v>
      </c>
      <c r="AA302" s="369">
        <v>-110798.27932800008</v>
      </c>
      <c r="AB302" s="505">
        <v>-76666.52463</v>
      </c>
      <c r="AC302" s="350">
        <f t="shared" si="78"/>
        <v>-363427.696444</v>
      </c>
      <c r="AG302" s="159">
        <f t="shared" si="79"/>
        <v>0</v>
      </c>
      <c r="AI302" s="442" t="s">
        <v>711</v>
      </c>
      <c r="AJ302" s="525" t="s">
        <v>1068</v>
      </c>
      <c r="AK302" s="364">
        <v>0</v>
      </c>
      <c r="AL302" s="364">
        <v>-109936.76562600001</v>
      </c>
      <c r="AM302" s="369">
        <v>-110798.27932800008</v>
      </c>
      <c r="AN302" s="505">
        <v>-76666.52463</v>
      </c>
      <c r="AO302" s="448">
        <v>-345124.94181400002</v>
      </c>
      <c r="AP302" s="448"/>
      <c r="AQ302" s="438"/>
      <c r="AR302" s="449">
        <f t="shared" si="80"/>
        <v>-297401.5695840001</v>
      </c>
      <c r="AS302" s="438"/>
      <c r="AT302" s="438"/>
      <c r="AU302" s="364">
        <v>-109936.76562600001</v>
      </c>
      <c r="AV302" s="369">
        <v>-110798.27932800008</v>
      </c>
      <c r="AW302" s="505">
        <v>-76666.52463</v>
      </c>
      <c r="AX302" s="452">
        <f t="shared" si="81"/>
        <v>-297401.5695840001</v>
      </c>
      <c r="AY302" s="250">
        <f t="shared" si="82"/>
        <v>0</v>
      </c>
      <c r="AZ302" s="439"/>
      <c r="BA302" s="582">
        <v>-136552.58688199997</v>
      </c>
      <c r="BB302" s="462">
        <f t="shared" si="76"/>
        <v>-433954.15646600007</v>
      </c>
      <c r="BC302" s="463">
        <f t="shared" si="68"/>
        <v>0</v>
      </c>
      <c r="BD302" s="431"/>
      <c r="BE302" s="435">
        <f t="shared" si="73"/>
        <v>0</v>
      </c>
    </row>
    <row r="303" spans="1:57" ht="15">
      <c r="A303" s="415">
        <v>297</v>
      </c>
      <c r="B303" s="415">
        <v>200</v>
      </c>
      <c r="C303" t="s">
        <v>513</v>
      </c>
      <c r="D303" t="s">
        <v>986</v>
      </c>
      <c r="E303" s="364">
        <v>0</v>
      </c>
      <c r="F303" s="364">
        <v>-480319.70356190164</v>
      </c>
      <c r="G303" s="369">
        <v>-718593.44943400053</v>
      </c>
      <c r="H303" s="364">
        <v>-642276.34122369485</v>
      </c>
      <c r="I303" s="350">
        <f t="shared" si="74"/>
        <v>-1841189.494219597</v>
      </c>
      <c r="K303" s="66">
        <f t="shared" si="75"/>
        <v>0</v>
      </c>
      <c r="L303" s="66"/>
      <c r="M303" s="415">
        <v>297</v>
      </c>
      <c r="N303" s="415">
        <v>200</v>
      </c>
      <c r="O303" s="66" t="s">
        <v>513</v>
      </c>
      <c r="P303" t="s">
        <v>986</v>
      </c>
      <c r="Q303" s="364">
        <v>-642276.34122369485</v>
      </c>
      <c r="R303" t="s">
        <v>2580</v>
      </c>
      <c r="S303" s="250"/>
      <c r="T303" s="159">
        <f t="shared" si="77"/>
        <v>0</v>
      </c>
      <c r="U303" s="250"/>
      <c r="V303" s="415">
        <v>297</v>
      </c>
      <c r="W303" t="s">
        <v>513</v>
      </c>
      <c r="X303" t="s">
        <v>986</v>
      </c>
      <c r="Y303" s="364">
        <v>-657209.63847307093</v>
      </c>
      <c r="Z303" s="364">
        <v>0</v>
      </c>
      <c r="AA303" s="369">
        <v>-480319.70356190164</v>
      </c>
      <c r="AB303" s="505">
        <v>-718593.44943400053</v>
      </c>
      <c r="AC303" s="350">
        <f t="shared" si="78"/>
        <v>-1856122.791468973</v>
      </c>
      <c r="AG303" s="159">
        <f t="shared" si="79"/>
        <v>0</v>
      </c>
      <c r="AI303" s="442" t="s">
        <v>513</v>
      </c>
      <c r="AJ303" t="s">
        <v>986</v>
      </c>
      <c r="AK303" s="364">
        <v>0</v>
      </c>
      <c r="AL303" s="364">
        <v>0</v>
      </c>
      <c r="AM303" s="369">
        <v>-480319.70356190164</v>
      </c>
      <c r="AN303" s="505">
        <v>-718593.44943400053</v>
      </c>
      <c r="AO303" s="448">
        <v>-1868830.7820349724</v>
      </c>
      <c r="AP303" s="448"/>
      <c r="AQ303" s="438"/>
      <c r="AR303" s="449">
        <f t="shared" si="80"/>
        <v>-1198913.1529959021</v>
      </c>
      <c r="AS303" s="438"/>
      <c r="AT303" s="438"/>
      <c r="AU303" s="364">
        <v>0</v>
      </c>
      <c r="AV303" s="369">
        <v>-480319.70356190164</v>
      </c>
      <c r="AW303" s="505">
        <v>-718593.44943400053</v>
      </c>
      <c r="AX303" s="452">
        <f t="shared" si="81"/>
        <v>-1198913.1529959021</v>
      </c>
      <c r="AY303" s="250">
        <f t="shared" si="82"/>
        <v>0</v>
      </c>
      <c r="AZ303" s="439"/>
      <c r="BA303" s="582">
        <v>-642276.34122369485</v>
      </c>
      <c r="BB303" s="462">
        <f t="shared" si="76"/>
        <v>-1841189.494219597</v>
      </c>
      <c r="BC303" s="463">
        <f t="shared" si="68"/>
        <v>0</v>
      </c>
      <c r="BD303" s="431"/>
      <c r="BE303" s="435">
        <f t="shared" si="73"/>
        <v>0</v>
      </c>
    </row>
    <row r="304" spans="1:57" ht="15">
      <c r="A304" s="415">
        <v>298</v>
      </c>
      <c r="B304" s="415">
        <v>265</v>
      </c>
      <c r="C304" t="s">
        <v>624</v>
      </c>
      <c r="D304" t="s">
        <v>1030</v>
      </c>
      <c r="E304" s="364">
        <v>-171535.82974999998</v>
      </c>
      <c r="F304" s="364">
        <v>-187608.98489599995</v>
      </c>
      <c r="G304" s="369">
        <v>-233121.17422500002</v>
      </c>
      <c r="H304" s="364">
        <v>-292817.66842499998</v>
      </c>
      <c r="I304" s="350">
        <f t="shared" si="74"/>
        <v>-885083.65729600005</v>
      </c>
      <c r="K304" s="66">
        <f t="shared" si="75"/>
        <v>0</v>
      </c>
      <c r="L304" s="66"/>
      <c r="M304" s="415">
        <v>298</v>
      </c>
      <c r="N304" s="415">
        <v>265</v>
      </c>
      <c r="O304" s="66" t="s">
        <v>624</v>
      </c>
      <c r="P304" t="s">
        <v>1030</v>
      </c>
      <c r="Q304" s="364">
        <v>-292817.66842499998</v>
      </c>
      <c r="R304" t="s">
        <v>2580</v>
      </c>
      <c r="S304" s="250"/>
      <c r="T304" s="159">
        <f t="shared" si="77"/>
        <v>0</v>
      </c>
      <c r="U304" s="250"/>
      <c r="V304" s="415">
        <v>298</v>
      </c>
      <c r="W304" t="s">
        <v>624</v>
      </c>
      <c r="X304" t="s">
        <v>1030</v>
      </c>
      <c r="Y304" s="364">
        <v>-102922.27848900002</v>
      </c>
      <c r="Z304" s="364">
        <v>-171535.82974999998</v>
      </c>
      <c r="AA304" s="369">
        <v>-187608.98489599995</v>
      </c>
      <c r="AB304" s="505">
        <v>-233121.17422500002</v>
      </c>
      <c r="AC304" s="350">
        <f t="shared" si="78"/>
        <v>-695188.26735999994</v>
      </c>
      <c r="AG304" s="159">
        <f t="shared" si="79"/>
        <v>0</v>
      </c>
      <c r="AI304" s="442" t="s">
        <v>624</v>
      </c>
      <c r="AJ304" t="s">
        <v>1030</v>
      </c>
      <c r="AK304" s="364">
        <v>0</v>
      </c>
      <c r="AL304" s="364">
        <v>-171535.82974999998</v>
      </c>
      <c r="AM304" s="369">
        <v>-187608.98489599995</v>
      </c>
      <c r="AN304" s="505">
        <v>-233121.17422500002</v>
      </c>
      <c r="AO304" s="448">
        <v>-521833.42313499993</v>
      </c>
      <c r="AP304" s="448"/>
      <c r="AQ304" s="438"/>
      <c r="AR304" s="449">
        <f t="shared" si="80"/>
        <v>-592265.98887100001</v>
      </c>
      <c r="AS304" s="438"/>
      <c r="AT304" s="438"/>
      <c r="AU304" s="364">
        <v>-171535.82974999998</v>
      </c>
      <c r="AV304" s="369">
        <v>-187608.98489599995</v>
      </c>
      <c r="AW304" s="505">
        <v>-233121.17422500002</v>
      </c>
      <c r="AX304" s="452">
        <f t="shared" si="81"/>
        <v>-592265.98887100001</v>
      </c>
      <c r="AY304" s="250">
        <f t="shared" si="82"/>
        <v>0</v>
      </c>
      <c r="AZ304" s="439"/>
      <c r="BA304" s="582">
        <v>-292817.66842499998</v>
      </c>
      <c r="BB304" s="462">
        <f t="shared" si="76"/>
        <v>-885083.65729600005</v>
      </c>
      <c r="BC304" s="463">
        <f t="shared" si="68"/>
        <v>0</v>
      </c>
      <c r="BD304" s="431"/>
      <c r="BE304" s="435">
        <f t="shared" si="73"/>
        <v>0</v>
      </c>
    </row>
    <row r="305" spans="1:57" ht="15">
      <c r="A305" s="415">
        <v>299</v>
      </c>
      <c r="B305" s="415">
        <v>29</v>
      </c>
      <c r="C305" t="s">
        <v>213</v>
      </c>
      <c r="D305" t="s">
        <v>849</v>
      </c>
      <c r="E305" s="364">
        <v>0</v>
      </c>
      <c r="F305" s="364">
        <v>0</v>
      </c>
      <c r="G305" s="369">
        <v>0</v>
      </c>
      <c r="H305" s="364">
        <v>239247.00141200051</v>
      </c>
      <c r="I305" s="350">
        <f t="shared" si="74"/>
        <v>239247.00141200051</v>
      </c>
      <c r="K305" s="66">
        <f t="shared" si="75"/>
        <v>0</v>
      </c>
      <c r="L305" s="66"/>
      <c r="M305" s="415">
        <v>299</v>
      </c>
      <c r="N305" s="415">
        <v>29</v>
      </c>
      <c r="O305" s="66" t="s">
        <v>213</v>
      </c>
      <c r="P305" t="s">
        <v>849</v>
      </c>
      <c r="Q305" s="364">
        <v>239247.00141200051</v>
      </c>
      <c r="R305" t="s">
        <v>2580</v>
      </c>
      <c r="S305" s="250"/>
      <c r="T305" s="159">
        <f t="shared" si="77"/>
        <v>0</v>
      </c>
      <c r="U305" s="250"/>
      <c r="V305" s="415">
        <v>299</v>
      </c>
      <c r="W305" t="s">
        <v>213</v>
      </c>
      <c r="X305" t="s">
        <v>849</v>
      </c>
      <c r="Y305" s="364">
        <v>-1896018.002848</v>
      </c>
      <c r="Z305" s="364">
        <v>0</v>
      </c>
      <c r="AA305" s="369">
        <v>0</v>
      </c>
      <c r="AB305" s="505">
        <v>593707.795948999</v>
      </c>
      <c r="AC305" s="350">
        <f t="shared" si="78"/>
        <v>-1302310.206899001</v>
      </c>
      <c r="AG305" s="159">
        <f t="shared" si="79"/>
        <v>0</v>
      </c>
      <c r="AI305" s="442" t="s">
        <v>213</v>
      </c>
      <c r="AJ305" t="s">
        <v>849</v>
      </c>
      <c r="AK305" s="364">
        <v>0</v>
      </c>
      <c r="AL305" s="364">
        <v>0</v>
      </c>
      <c r="AM305" s="369">
        <v>0</v>
      </c>
      <c r="AN305" s="505">
        <v>0</v>
      </c>
      <c r="AO305" s="448">
        <v>-2587861.0019729966</v>
      </c>
      <c r="AP305" s="448"/>
      <c r="AQ305" s="438"/>
      <c r="AR305" s="449">
        <f t="shared" si="80"/>
        <v>0</v>
      </c>
      <c r="AS305" s="438"/>
      <c r="AT305" s="438"/>
      <c r="AU305" s="364">
        <v>0</v>
      </c>
      <c r="AV305" s="369">
        <v>0</v>
      </c>
      <c r="AW305" s="505">
        <v>0</v>
      </c>
      <c r="AX305" s="452">
        <f t="shared" si="81"/>
        <v>0</v>
      </c>
      <c r="AY305" s="250">
        <f t="shared" si="82"/>
        <v>0</v>
      </c>
      <c r="AZ305" s="439"/>
      <c r="BA305" s="582">
        <v>239247.00141200051</v>
      </c>
      <c r="BB305" s="462">
        <f t="shared" si="76"/>
        <v>239247.00141200051</v>
      </c>
      <c r="BC305" s="463">
        <f t="shared" si="68"/>
        <v>0</v>
      </c>
      <c r="BD305" s="431"/>
      <c r="BE305" s="435">
        <f t="shared" si="73"/>
        <v>0</v>
      </c>
    </row>
    <row r="306" spans="1:57" ht="15">
      <c r="A306" s="415">
        <v>300</v>
      </c>
      <c r="B306" s="415">
        <v>102</v>
      </c>
      <c r="C306" t="s">
        <v>348</v>
      </c>
      <c r="D306" t="s">
        <v>911</v>
      </c>
      <c r="E306" s="364">
        <v>-231556.90609086351</v>
      </c>
      <c r="F306" s="364">
        <v>-268417.46527357411</v>
      </c>
      <c r="G306" s="369">
        <v>-226601.84051700018</v>
      </c>
      <c r="H306" s="364">
        <v>-185534.65973125794</v>
      </c>
      <c r="I306" s="350">
        <f t="shared" si="74"/>
        <v>-912110.87161269574</v>
      </c>
      <c r="K306" s="66">
        <f t="shared" si="75"/>
        <v>0</v>
      </c>
      <c r="L306" s="66"/>
      <c r="M306" s="415">
        <v>300</v>
      </c>
      <c r="N306" s="415">
        <v>102</v>
      </c>
      <c r="O306" s="66" t="s">
        <v>348</v>
      </c>
      <c r="P306" t="s">
        <v>911</v>
      </c>
      <c r="Q306" s="364">
        <v>-185534.65973125794</v>
      </c>
      <c r="R306" t="s">
        <v>2580</v>
      </c>
      <c r="S306" s="250"/>
      <c r="T306" s="159">
        <f t="shared" si="77"/>
        <v>0</v>
      </c>
      <c r="U306" s="250"/>
      <c r="V306" s="415">
        <v>300</v>
      </c>
      <c r="W306" t="s">
        <v>348</v>
      </c>
      <c r="X306" t="s">
        <v>911</v>
      </c>
      <c r="Y306" s="364">
        <v>-351417.21320718038</v>
      </c>
      <c r="Z306" s="364">
        <v>-231556.90609086351</v>
      </c>
      <c r="AA306" s="369">
        <v>-268417.46527357411</v>
      </c>
      <c r="AB306" s="505">
        <v>-226601.84051700018</v>
      </c>
      <c r="AC306" s="350">
        <f t="shared" si="78"/>
        <v>-1077993.4250886182</v>
      </c>
      <c r="AG306" s="159">
        <f t="shared" si="79"/>
        <v>0</v>
      </c>
      <c r="AI306" s="442" t="s">
        <v>348</v>
      </c>
      <c r="AJ306" t="s">
        <v>911</v>
      </c>
      <c r="AK306" s="364">
        <v>0</v>
      </c>
      <c r="AL306" s="364">
        <v>-231556.90609086351</v>
      </c>
      <c r="AM306" s="369">
        <v>-268417.46527357411</v>
      </c>
      <c r="AN306" s="505">
        <v>-226601.84051700018</v>
      </c>
      <c r="AO306" s="448">
        <v>-1133096.8745716182</v>
      </c>
      <c r="AP306" s="448"/>
      <c r="AQ306" s="438"/>
      <c r="AR306" s="449">
        <f t="shared" si="80"/>
        <v>-726576.2118814378</v>
      </c>
      <c r="AS306" s="438"/>
      <c r="AT306" s="438"/>
      <c r="AU306" s="364">
        <v>-231556.90609086351</v>
      </c>
      <c r="AV306" s="369">
        <v>-268417.46527357411</v>
      </c>
      <c r="AW306" s="505">
        <v>-226601.84051700018</v>
      </c>
      <c r="AX306" s="452">
        <f t="shared" si="81"/>
        <v>-726576.2118814378</v>
      </c>
      <c r="AY306" s="250">
        <f t="shared" si="82"/>
        <v>0</v>
      </c>
      <c r="AZ306" s="439"/>
      <c r="BA306" s="582">
        <v>-185534.65973125794</v>
      </c>
      <c r="BB306" s="462">
        <f t="shared" si="76"/>
        <v>-912110.87161269574</v>
      </c>
      <c r="BC306" s="463">
        <f t="shared" si="68"/>
        <v>0</v>
      </c>
      <c r="BD306" s="431"/>
      <c r="BE306" s="435">
        <f t="shared" si="73"/>
        <v>0</v>
      </c>
    </row>
    <row r="307" spans="1:57" ht="15">
      <c r="A307" s="415">
        <v>301</v>
      </c>
      <c r="B307" s="415">
        <v>283</v>
      </c>
      <c r="C307" s="347" t="s">
        <v>1503</v>
      </c>
      <c r="D307" s="346" t="s">
        <v>1502</v>
      </c>
      <c r="E307" s="364"/>
      <c r="F307" s="364"/>
      <c r="G307" s="369">
        <v>0</v>
      </c>
      <c r="H307" s="364"/>
      <c r="I307" s="350">
        <f t="shared" si="74"/>
        <v>0</v>
      </c>
      <c r="K307" s="66">
        <f t="shared" si="75"/>
        <v>0</v>
      </c>
      <c r="L307" s="66"/>
      <c r="M307" s="415">
        <v>301</v>
      </c>
      <c r="N307" s="415">
        <v>283</v>
      </c>
      <c r="O307" s="347" t="s">
        <v>1503</v>
      </c>
      <c r="P307" s="346" t="s">
        <v>1502</v>
      </c>
      <c r="Q307" s="364"/>
      <c r="R307" t="s">
        <v>2580</v>
      </c>
      <c r="S307" s="250"/>
      <c r="T307" s="159">
        <f t="shared" si="77"/>
        <v>0</v>
      </c>
      <c r="U307" s="250"/>
      <c r="V307" s="415">
        <v>301</v>
      </c>
      <c r="W307" s="347" t="s">
        <v>1503</v>
      </c>
      <c r="X307" s="346" t="s">
        <v>1502</v>
      </c>
      <c r="Y307" s="364">
        <v>0</v>
      </c>
      <c r="Z307" s="364"/>
      <c r="AA307" s="369"/>
      <c r="AB307" s="505">
        <v>0</v>
      </c>
      <c r="AC307" s="350">
        <f t="shared" si="78"/>
        <v>0</v>
      </c>
      <c r="AG307" s="159">
        <f t="shared" si="79"/>
        <v>0</v>
      </c>
      <c r="AI307" s="442" t="s">
        <v>1503</v>
      </c>
      <c r="AJ307" s="346" t="s">
        <v>1502</v>
      </c>
      <c r="AK307" s="364">
        <v>0</v>
      </c>
      <c r="AL307" s="364"/>
      <c r="AM307" s="369"/>
      <c r="AN307" s="505">
        <v>0</v>
      </c>
      <c r="AO307" s="448">
        <v>0</v>
      </c>
      <c r="AP307" s="448"/>
      <c r="AQ307" s="438"/>
      <c r="AR307" s="449">
        <f t="shared" si="80"/>
        <v>0</v>
      </c>
      <c r="AS307" s="438"/>
      <c r="AT307" s="438"/>
      <c r="AU307" s="364"/>
      <c r="AV307" s="369"/>
      <c r="AW307" s="505">
        <v>0</v>
      </c>
      <c r="AX307" s="452">
        <f t="shared" si="81"/>
        <v>0</v>
      </c>
      <c r="AY307" s="250">
        <f t="shared" si="82"/>
        <v>0</v>
      </c>
      <c r="AZ307" s="439"/>
      <c r="BA307" s="582"/>
      <c r="BB307" s="462">
        <f t="shared" si="76"/>
        <v>0</v>
      </c>
      <c r="BC307" s="463">
        <f t="shared" si="68"/>
        <v>0</v>
      </c>
      <c r="BD307" s="431"/>
      <c r="BE307" s="435">
        <f t="shared" si="73"/>
        <v>0</v>
      </c>
    </row>
    <row r="308" spans="1:57" ht="15">
      <c r="A308" s="415">
        <v>302</v>
      </c>
      <c r="B308" s="415">
        <v>284</v>
      </c>
      <c r="C308" t="s">
        <v>656</v>
      </c>
      <c r="D308" t="s">
        <v>1045</v>
      </c>
      <c r="E308" s="364">
        <v>-47545.889877999958</v>
      </c>
      <c r="F308" s="364">
        <v>-100036.01831899994</v>
      </c>
      <c r="G308" s="369">
        <v>-107898.40119000006</v>
      </c>
      <c r="H308" s="364">
        <v>-200141.43624900002</v>
      </c>
      <c r="I308" s="350">
        <f t="shared" si="74"/>
        <v>-455621.74563599995</v>
      </c>
      <c r="K308" s="66">
        <f t="shared" si="75"/>
        <v>0</v>
      </c>
      <c r="L308" s="66"/>
      <c r="M308" s="415">
        <v>302</v>
      </c>
      <c r="N308" s="415">
        <v>284</v>
      </c>
      <c r="O308" s="66" t="s">
        <v>656</v>
      </c>
      <c r="P308" t="s">
        <v>1045</v>
      </c>
      <c r="Q308" s="364">
        <v>-200141.43624900002</v>
      </c>
      <c r="R308" t="s">
        <v>2580</v>
      </c>
      <c r="S308" s="250"/>
      <c r="T308" s="159">
        <f t="shared" si="77"/>
        <v>0</v>
      </c>
      <c r="U308" s="250"/>
      <c r="V308" s="415">
        <v>302</v>
      </c>
      <c r="W308" t="s">
        <v>656</v>
      </c>
      <c r="X308" t="s">
        <v>1045</v>
      </c>
      <c r="Y308" s="364">
        <v>-73586.376629999984</v>
      </c>
      <c r="Z308" s="364">
        <v>-47545.889877999958</v>
      </c>
      <c r="AA308" s="369">
        <v>-100036.01831899994</v>
      </c>
      <c r="AB308" s="505">
        <v>-107898.40119000006</v>
      </c>
      <c r="AC308" s="350">
        <f t="shared" si="78"/>
        <v>-329066.68601699994</v>
      </c>
      <c r="AG308" s="159">
        <f t="shared" si="79"/>
        <v>0</v>
      </c>
      <c r="AI308" s="442" t="s">
        <v>656</v>
      </c>
      <c r="AJ308" t="s">
        <v>1045</v>
      </c>
      <c r="AK308" s="364">
        <v>0</v>
      </c>
      <c r="AL308" s="364">
        <v>-47545.889877999958</v>
      </c>
      <c r="AM308" s="369">
        <v>-100036.01831899994</v>
      </c>
      <c r="AN308" s="505">
        <v>-107898.40119000006</v>
      </c>
      <c r="AO308" s="448">
        <v>-340580.90482699987</v>
      </c>
      <c r="AP308" s="448"/>
      <c r="AQ308" s="438"/>
      <c r="AR308" s="449">
        <f t="shared" si="80"/>
        <v>-255480.30938699996</v>
      </c>
      <c r="AS308" s="438"/>
      <c r="AT308" s="438"/>
      <c r="AU308" s="364">
        <v>-47545.889877999958</v>
      </c>
      <c r="AV308" s="369">
        <v>-100036.01831899994</v>
      </c>
      <c r="AW308" s="505">
        <v>-107898.40119000006</v>
      </c>
      <c r="AX308" s="452">
        <f t="shared" si="81"/>
        <v>-255480.30938699996</v>
      </c>
      <c r="AY308" s="250">
        <f t="shared" si="82"/>
        <v>0</v>
      </c>
      <c r="AZ308" s="439"/>
      <c r="BA308" s="582">
        <v>-200141.43624900002</v>
      </c>
      <c r="BB308" s="462">
        <f t="shared" si="76"/>
        <v>-455621.74563599995</v>
      </c>
      <c r="BC308" s="463">
        <f t="shared" ref="BC308:BC336" si="83">+BB308-I308</f>
        <v>0</v>
      </c>
      <c r="BD308" s="431"/>
      <c r="BE308" s="435">
        <f t="shared" si="73"/>
        <v>0</v>
      </c>
    </row>
    <row r="309" spans="1:57" ht="15">
      <c r="A309" s="415">
        <v>303</v>
      </c>
      <c r="B309" s="415">
        <v>66</v>
      </c>
      <c r="C309" t="s">
        <v>277</v>
      </c>
      <c r="D309" t="s">
        <v>878</v>
      </c>
      <c r="E309" s="364">
        <v>298226.82852999913</v>
      </c>
      <c r="F309" s="364">
        <v>164024.78134399958</v>
      </c>
      <c r="G309" s="369">
        <v>115968.70800600015</v>
      </c>
      <c r="H309" s="364">
        <v>-233634.90019500023</v>
      </c>
      <c r="I309" s="350">
        <f t="shared" si="74"/>
        <v>344585.4176849986</v>
      </c>
      <c r="K309" s="66">
        <f t="shared" si="75"/>
        <v>0</v>
      </c>
      <c r="L309" s="66"/>
      <c r="M309" s="415">
        <v>303</v>
      </c>
      <c r="N309" s="415">
        <v>66</v>
      </c>
      <c r="O309" s="66" t="s">
        <v>277</v>
      </c>
      <c r="P309" t="s">
        <v>878</v>
      </c>
      <c r="Q309" s="364">
        <v>-233634.90019500023</v>
      </c>
      <c r="R309" t="s">
        <v>2580</v>
      </c>
      <c r="S309" s="250"/>
      <c r="T309" s="159">
        <f t="shared" si="77"/>
        <v>0</v>
      </c>
      <c r="U309" s="250"/>
      <c r="V309" s="415">
        <v>303</v>
      </c>
      <c r="W309" t="s">
        <v>277</v>
      </c>
      <c r="X309" t="s">
        <v>878</v>
      </c>
      <c r="Y309" s="364">
        <v>308462.59245999949</v>
      </c>
      <c r="Z309" s="364">
        <v>-10235.763930000365</v>
      </c>
      <c r="AA309" s="369">
        <v>164024.78134399958</v>
      </c>
      <c r="AB309" s="505">
        <v>115968.70800600015</v>
      </c>
      <c r="AC309" s="350">
        <f t="shared" si="78"/>
        <v>578220.31787999882</v>
      </c>
      <c r="AG309" s="159">
        <f t="shared" si="79"/>
        <v>0</v>
      </c>
      <c r="AI309" s="442" t="s">
        <v>277</v>
      </c>
      <c r="AJ309" t="s">
        <v>878</v>
      </c>
      <c r="AK309" s="364">
        <v>0</v>
      </c>
      <c r="AL309" s="585">
        <v>298226.82852999913</v>
      </c>
      <c r="AM309" s="369">
        <v>164024.78134399958</v>
      </c>
      <c r="AN309" s="505">
        <v>115968.70800600015</v>
      </c>
      <c r="AO309" s="448">
        <v>462251.60987399868</v>
      </c>
      <c r="AP309" s="448">
        <v>298226.82852999913</v>
      </c>
      <c r="AQ309" s="438"/>
      <c r="AR309" s="449">
        <f t="shared" si="80"/>
        <v>578220.31787999882</v>
      </c>
      <c r="AS309" s="438"/>
      <c r="AT309" s="438"/>
      <c r="AU309" s="585">
        <v>298226.82852999913</v>
      </c>
      <c r="AV309" s="369">
        <v>164024.78134399958</v>
      </c>
      <c r="AW309" s="505">
        <v>115968.70800600015</v>
      </c>
      <c r="AX309" s="452">
        <f t="shared" si="81"/>
        <v>578220.31787999882</v>
      </c>
      <c r="AY309" s="250">
        <f t="shared" si="82"/>
        <v>0</v>
      </c>
      <c r="AZ309" s="439"/>
      <c r="BA309" s="582">
        <v>-233634.90019500023</v>
      </c>
      <c r="BB309" s="462">
        <f t="shared" si="76"/>
        <v>344585.4176849986</v>
      </c>
      <c r="BC309" s="463">
        <f t="shared" si="83"/>
        <v>0</v>
      </c>
      <c r="BD309" s="431"/>
      <c r="BE309" s="435">
        <f t="shared" si="73"/>
        <v>0</v>
      </c>
    </row>
    <row r="310" spans="1:57" ht="15">
      <c r="A310" s="415">
        <v>304</v>
      </c>
      <c r="B310" s="415">
        <v>290</v>
      </c>
      <c r="C310" t="s">
        <v>667</v>
      </c>
      <c r="D310" t="s">
        <v>1050</v>
      </c>
      <c r="E310" s="364">
        <v>-84623.044819999952</v>
      </c>
      <c r="F310" s="364">
        <v>-92491.288030000025</v>
      </c>
      <c r="G310" s="369">
        <v>-70879.450551999966</v>
      </c>
      <c r="H310" s="364">
        <v>-98336.039464000001</v>
      </c>
      <c r="I310" s="350">
        <f t="shared" si="74"/>
        <v>-346329.82286599994</v>
      </c>
      <c r="K310" s="66">
        <f t="shared" si="75"/>
        <v>0</v>
      </c>
      <c r="L310" s="66"/>
      <c r="M310" s="415">
        <v>304</v>
      </c>
      <c r="N310" s="415">
        <v>290</v>
      </c>
      <c r="O310" s="66" t="s">
        <v>667</v>
      </c>
      <c r="P310" t="s">
        <v>1050</v>
      </c>
      <c r="Q310" s="364">
        <v>-98336.039464000001</v>
      </c>
      <c r="R310" t="s">
        <v>2580</v>
      </c>
      <c r="S310" s="250"/>
      <c r="T310" s="159">
        <f t="shared" si="77"/>
        <v>0</v>
      </c>
      <c r="U310" s="250"/>
      <c r="V310" s="415">
        <v>304</v>
      </c>
      <c r="W310" t="s">
        <v>667</v>
      </c>
      <c r="X310" t="s">
        <v>1050</v>
      </c>
      <c r="Y310" s="364">
        <v>-67873.881135140022</v>
      </c>
      <c r="Z310" s="364">
        <v>-84623.044819999952</v>
      </c>
      <c r="AA310" s="369">
        <v>-92491.288030000025</v>
      </c>
      <c r="AB310" s="505">
        <v>-70879.450551999966</v>
      </c>
      <c r="AC310" s="350">
        <f t="shared" si="78"/>
        <v>-315867.66453713994</v>
      </c>
      <c r="AG310" s="159">
        <f t="shared" si="79"/>
        <v>0</v>
      </c>
      <c r="AI310" s="442" t="s">
        <v>667</v>
      </c>
      <c r="AJ310" t="s">
        <v>1050</v>
      </c>
      <c r="AK310" s="364">
        <v>0</v>
      </c>
      <c r="AL310" s="364">
        <v>-84623.044819999952</v>
      </c>
      <c r="AM310" s="369">
        <v>-92491.288030000025</v>
      </c>
      <c r="AN310" s="505">
        <v>-70879.450551999966</v>
      </c>
      <c r="AO310" s="448">
        <v>-371379.95398513996</v>
      </c>
      <c r="AP310" s="448"/>
      <c r="AQ310" s="438"/>
      <c r="AR310" s="449">
        <f t="shared" si="80"/>
        <v>-247993.78340199994</v>
      </c>
      <c r="AS310" s="438"/>
      <c r="AT310" s="438"/>
      <c r="AU310" s="364">
        <v>-84623.044819999952</v>
      </c>
      <c r="AV310" s="369">
        <v>-92491.288030000025</v>
      </c>
      <c r="AW310" s="505">
        <v>-70879.450551999966</v>
      </c>
      <c r="AX310" s="452">
        <f t="shared" si="81"/>
        <v>-247993.78340199994</v>
      </c>
      <c r="AY310" s="250">
        <f t="shared" si="82"/>
        <v>0</v>
      </c>
      <c r="AZ310" s="439"/>
      <c r="BA310" s="582">
        <v>-98336.039464000001</v>
      </c>
      <c r="BB310" s="462">
        <f t="shared" si="76"/>
        <v>-346329.82286599994</v>
      </c>
      <c r="BC310" s="463">
        <f t="shared" si="83"/>
        <v>0</v>
      </c>
      <c r="BD310" s="431"/>
      <c r="BE310" s="435">
        <f t="shared" si="73"/>
        <v>0</v>
      </c>
    </row>
    <row r="311" spans="1:57" ht="15">
      <c r="A311" s="415">
        <v>305</v>
      </c>
      <c r="B311" s="415">
        <v>286</v>
      </c>
      <c r="C311" t="s">
        <v>660</v>
      </c>
      <c r="D311" t="s">
        <v>1047</v>
      </c>
      <c r="E311" s="364">
        <v>0</v>
      </c>
      <c r="F311" s="364">
        <v>0</v>
      </c>
      <c r="G311" s="369">
        <v>33726.287040001072</v>
      </c>
      <c r="H311" s="364">
        <v>153794.01324199978</v>
      </c>
      <c r="I311" s="350">
        <f t="shared" si="74"/>
        <v>187520.30028200086</v>
      </c>
      <c r="K311" s="66">
        <f t="shared" si="75"/>
        <v>0</v>
      </c>
      <c r="L311" s="66"/>
      <c r="M311" s="415">
        <v>305</v>
      </c>
      <c r="N311" s="415">
        <v>286</v>
      </c>
      <c r="O311" s="66" t="s">
        <v>660</v>
      </c>
      <c r="P311" t="s">
        <v>1047</v>
      </c>
      <c r="Q311" s="364">
        <v>153794.01324199978</v>
      </c>
      <c r="R311" t="s">
        <v>2580</v>
      </c>
      <c r="S311" s="250"/>
      <c r="T311" s="159">
        <f t="shared" si="77"/>
        <v>0</v>
      </c>
      <c r="U311" s="250"/>
      <c r="V311" s="415">
        <v>305</v>
      </c>
      <c r="W311" t="s">
        <v>660</v>
      </c>
      <c r="X311" t="s">
        <v>1047</v>
      </c>
      <c r="Y311" s="364">
        <v>0</v>
      </c>
      <c r="Z311" s="364">
        <v>-45596.272679999471</v>
      </c>
      <c r="AA311" s="369">
        <v>-56915.767549999699</v>
      </c>
      <c r="AB311" s="505">
        <v>136238.32727000024</v>
      </c>
      <c r="AC311" s="350">
        <f t="shared" si="78"/>
        <v>33726.287040001072</v>
      </c>
      <c r="AG311" s="159">
        <f t="shared" si="79"/>
        <v>0</v>
      </c>
      <c r="AI311" s="442" t="s">
        <v>660</v>
      </c>
      <c r="AJ311" t="s">
        <v>1047</v>
      </c>
      <c r="AK311" s="364">
        <v>0</v>
      </c>
      <c r="AL311" s="364">
        <v>0</v>
      </c>
      <c r="AM311" s="369">
        <v>0</v>
      </c>
      <c r="AN311" s="505">
        <v>33726.287040001072</v>
      </c>
      <c r="AO311" s="448">
        <v>-875316.38022999908</v>
      </c>
      <c r="AP311" s="448">
        <f>+AL311+AM311+AN311</f>
        <v>33726.287040001072</v>
      </c>
      <c r="AQ311" s="438"/>
      <c r="AR311" s="449">
        <f t="shared" si="80"/>
        <v>33726.287040001072</v>
      </c>
      <c r="AS311" s="438"/>
      <c r="AT311" s="438"/>
      <c r="AU311" s="364">
        <v>0</v>
      </c>
      <c r="AV311" s="369">
        <v>0</v>
      </c>
      <c r="AW311" s="505">
        <v>33726.287040001072</v>
      </c>
      <c r="AX311" s="452">
        <f t="shared" si="81"/>
        <v>33726.287040001072</v>
      </c>
      <c r="AY311" s="250">
        <f t="shared" si="82"/>
        <v>0</v>
      </c>
      <c r="AZ311" s="439"/>
      <c r="BA311" s="582">
        <v>153794.01324199978</v>
      </c>
      <c r="BB311" s="462">
        <f t="shared" si="76"/>
        <v>187520.30028200086</v>
      </c>
      <c r="BC311" s="463">
        <f t="shared" si="83"/>
        <v>0</v>
      </c>
      <c r="BD311" s="431"/>
      <c r="BE311" s="435">
        <f t="shared" si="73"/>
        <v>0</v>
      </c>
    </row>
    <row r="312" spans="1:57" ht="15">
      <c r="A312" s="415">
        <v>306</v>
      </c>
      <c r="B312" s="415">
        <v>326</v>
      </c>
      <c r="C312" t="s">
        <v>734</v>
      </c>
      <c r="D312" t="s">
        <v>1079</v>
      </c>
      <c r="E312" s="364">
        <v>-69384.487425999716</v>
      </c>
      <c r="F312" s="364">
        <v>-141996.29821999994</v>
      </c>
      <c r="G312" s="369">
        <v>-186956.38959199982</v>
      </c>
      <c r="H312" s="364">
        <v>-254485.57840400003</v>
      </c>
      <c r="I312" s="350">
        <f t="shared" si="74"/>
        <v>-652822.75364199956</v>
      </c>
      <c r="K312" s="66">
        <f t="shared" si="75"/>
        <v>0</v>
      </c>
      <c r="L312" s="66"/>
      <c r="M312" s="415">
        <v>306</v>
      </c>
      <c r="N312" s="415">
        <v>326</v>
      </c>
      <c r="O312" s="66" t="s">
        <v>734</v>
      </c>
      <c r="P312" t="s">
        <v>1079</v>
      </c>
      <c r="Q312" s="364">
        <v>-254485.57840400003</v>
      </c>
      <c r="R312" t="s">
        <v>2580</v>
      </c>
      <c r="S312" s="250"/>
      <c r="T312" s="159">
        <f t="shared" si="77"/>
        <v>0</v>
      </c>
      <c r="U312" s="250"/>
      <c r="V312" s="415">
        <v>306</v>
      </c>
      <c r="W312" t="s">
        <v>734</v>
      </c>
      <c r="X312" t="s">
        <v>1079</v>
      </c>
      <c r="Y312" s="364">
        <v>-634202.14298000035</v>
      </c>
      <c r="Z312" s="364">
        <v>-69384.487425999716</v>
      </c>
      <c r="AA312" s="369">
        <v>-141996.29821999994</v>
      </c>
      <c r="AB312" s="505">
        <v>-186956.38959199982</v>
      </c>
      <c r="AC312" s="350">
        <f t="shared" ref="AC312:AC336" si="84">SUM(Y312:AB312)</f>
        <v>-1032539.3182179998</v>
      </c>
      <c r="AG312" s="159">
        <f t="shared" ref="AG312:AG336" si="85">+AI312-W312</f>
        <v>0</v>
      </c>
      <c r="AI312" s="442" t="s">
        <v>734</v>
      </c>
      <c r="AJ312" t="s">
        <v>1079</v>
      </c>
      <c r="AK312" s="364">
        <v>0</v>
      </c>
      <c r="AL312" s="364">
        <v>-69384.487425999716</v>
      </c>
      <c r="AM312" s="369">
        <v>-141996.29821999994</v>
      </c>
      <c r="AN312" s="505">
        <v>-186956.38959199982</v>
      </c>
      <c r="AO312" s="448">
        <v>-942315.82862600009</v>
      </c>
      <c r="AP312" s="448"/>
      <c r="AQ312" s="438"/>
      <c r="AR312" s="449">
        <f t="shared" si="80"/>
        <v>-398337.17523799947</v>
      </c>
      <c r="AS312" s="438"/>
      <c r="AT312" s="438"/>
      <c r="AU312" s="364">
        <v>-69384.487425999716</v>
      </c>
      <c r="AV312" s="369">
        <v>-141996.29821999994</v>
      </c>
      <c r="AW312" s="505">
        <v>-186956.38959199982</v>
      </c>
      <c r="AX312" s="452">
        <f t="shared" si="81"/>
        <v>-398337.17523799947</v>
      </c>
      <c r="AY312" s="250">
        <f t="shared" si="82"/>
        <v>0</v>
      </c>
      <c r="AZ312" s="439"/>
      <c r="BA312" s="582">
        <v>-254485.57840400003</v>
      </c>
      <c r="BB312" s="462">
        <f t="shared" si="76"/>
        <v>-652822.75364199956</v>
      </c>
      <c r="BC312" s="463">
        <f t="shared" si="83"/>
        <v>0</v>
      </c>
      <c r="BD312" s="431"/>
      <c r="BE312" s="435">
        <f t="shared" si="73"/>
        <v>0</v>
      </c>
    </row>
    <row r="313" spans="1:57" ht="15">
      <c r="A313" s="415">
        <v>307</v>
      </c>
      <c r="B313" s="415">
        <v>68</v>
      </c>
      <c r="C313" t="s">
        <v>281</v>
      </c>
      <c r="D313" t="s">
        <v>880</v>
      </c>
      <c r="E313" s="364">
        <v>-51596.209300000104</v>
      </c>
      <c r="F313" s="364">
        <v>-87255.155719999922</v>
      </c>
      <c r="G313" s="369">
        <v>-55324.907040000078</v>
      </c>
      <c r="H313" s="364">
        <v>-593330.33327599999</v>
      </c>
      <c r="I313" s="350">
        <f t="shared" si="74"/>
        <v>-787506.6053360001</v>
      </c>
      <c r="K313" s="66">
        <f t="shared" si="75"/>
        <v>0</v>
      </c>
      <c r="L313" s="66"/>
      <c r="M313" s="415">
        <v>307</v>
      </c>
      <c r="N313" s="415">
        <v>68</v>
      </c>
      <c r="O313" s="66" t="s">
        <v>281</v>
      </c>
      <c r="P313" t="s">
        <v>880</v>
      </c>
      <c r="Q313" s="364">
        <v>-593330.33327599999</v>
      </c>
      <c r="R313" t="s">
        <v>2580</v>
      </c>
      <c r="S313" s="250"/>
      <c r="T313" s="159">
        <f t="shared" si="77"/>
        <v>0</v>
      </c>
      <c r="U313" s="250"/>
      <c r="V313" s="415">
        <v>307</v>
      </c>
      <c r="W313" t="s">
        <v>281</v>
      </c>
      <c r="X313" t="s">
        <v>880</v>
      </c>
      <c r="Y313" s="364">
        <v>-32840.553696000003</v>
      </c>
      <c r="Z313" s="364">
        <v>-51596.209300000104</v>
      </c>
      <c r="AA313" s="369">
        <v>-87255.155719999922</v>
      </c>
      <c r="AB313" s="505">
        <v>-55324.907040000078</v>
      </c>
      <c r="AC313" s="350">
        <f t="shared" si="84"/>
        <v>-227016.82575600012</v>
      </c>
      <c r="AG313" s="159">
        <f t="shared" si="85"/>
        <v>0</v>
      </c>
      <c r="AI313" s="442" t="s">
        <v>281</v>
      </c>
      <c r="AJ313" t="s">
        <v>880</v>
      </c>
      <c r="AK313" s="364">
        <v>0</v>
      </c>
      <c r="AL313" s="364">
        <v>-51596.209300000104</v>
      </c>
      <c r="AM313" s="369">
        <v>-87255.155719999922</v>
      </c>
      <c r="AN313" s="505">
        <v>-55324.907040000078</v>
      </c>
      <c r="AO313" s="448">
        <v>-171691.91871600004</v>
      </c>
      <c r="AP313" s="448"/>
      <c r="AQ313" s="438"/>
      <c r="AR313" s="449">
        <f t="shared" ref="AR313:AR336" si="86">SUM(AL313:AN313)</f>
        <v>-194176.2720600001</v>
      </c>
      <c r="AS313" s="438"/>
      <c r="AT313" s="438"/>
      <c r="AU313" s="364">
        <v>-51596.209300000104</v>
      </c>
      <c r="AV313" s="369">
        <v>-87255.155719999922</v>
      </c>
      <c r="AW313" s="505">
        <v>-55324.907040000078</v>
      </c>
      <c r="AX313" s="452">
        <f t="shared" ref="AX313:AX336" si="87">SUM(AU313:AW313)</f>
        <v>-194176.2720600001</v>
      </c>
      <c r="AY313" s="250">
        <f t="shared" si="82"/>
        <v>0</v>
      </c>
      <c r="AZ313" s="439"/>
      <c r="BA313" s="582">
        <v>-593330.33327599999</v>
      </c>
      <c r="BB313" s="462">
        <f t="shared" si="76"/>
        <v>-787506.6053360001</v>
      </c>
      <c r="BC313" s="463">
        <f t="shared" si="83"/>
        <v>0</v>
      </c>
      <c r="BD313" s="431"/>
      <c r="BE313" s="435">
        <f t="shared" si="73"/>
        <v>0</v>
      </c>
    </row>
    <row r="314" spans="1:57" ht="15">
      <c r="A314" s="415">
        <v>308</v>
      </c>
      <c r="B314" s="415">
        <v>33</v>
      </c>
      <c r="C314" t="s">
        <v>220</v>
      </c>
      <c r="D314" t="s">
        <v>852</v>
      </c>
      <c r="E314" s="364">
        <v>-723494.86853799969</v>
      </c>
      <c r="F314" s="364">
        <v>-1110874.970645</v>
      </c>
      <c r="G314" s="369">
        <v>-874393.78468000004</v>
      </c>
      <c r="H314" s="364">
        <v>-792095.14056599978</v>
      </c>
      <c r="I314" s="350">
        <f t="shared" si="74"/>
        <v>-3500858.7644289993</v>
      </c>
      <c r="K314" s="66">
        <f t="shared" si="75"/>
        <v>0</v>
      </c>
      <c r="L314" s="66"/>
      <c r="M314" s="415">
        <v>308</v>
      </c>
      <c r="N314" s="415">
        <v>33</v>
      </c>
      <c r="O314" s="66" t="s">
        <v>220</v>
      </c>
      <c r="P314" t="s">
        <v>852</v>
      </c>
      <c r="Q314" s="364">
        <v>-792095.14056599978</v>
      </c>
      <c r="R314" t="s">
        <v>2580</v>
      </c>
      <c r="S314" s="250"/>
      <c r="T314" s="159">
        <f t="shared" si="77"/>
        <v>0</v>
      </c>
      <c r="U314" s="250"/>
      <c r="V314" s="415">
        <v>308</v>
      </c>
      <c r="W314" t="s">
        <v>220</v>
      </c>
      <c r="X314" t="s">
        <v>852</v>
      </c>
      <c r="Y314" s="364">
        <v>-896814.27217200014</v>
      </c>
      <c r="Z314" s="364">
        <v>-723494.86853799969</v>
      </c>
      <c r="AA314" s="369">
        <v>-1110874.970645</v>
      </c>
      <c r="AB314" s="505">
        <v>-874393.78468000004</v>
      </c>
      <c r="AC314" s="350">
        <f t="shared" si="84"/>
        <v>-3605577.8960350002</v>
      </c>
      <c r="AG314" s="159">
        <f t="shared" si="85"/>
        <v>0</v>
      </c>
      <c r="AI314" s="442" t="s">
        <v>220</v>
      </c>
      <c r="AJ314" t="s">
        <v>852</v>
      </c>
      <c r="AK314" s="364">
        <v>0</v>
      </c>
      <c r="AL314" s="364">
        <v>-723494.86853799969</v>
      </c>
      <c r="AM314" s="369">
        <v>-1110874.970645</v>
      </c>
      <c r="AN314" s="505">
        <v>-874393.78468000004</v>
      </c>
      <c r="AO314" s="448">
        <v>-3030962.8213550001</v>
      </c>
      <c r="AP314" s="448"/>
      <c r="AQ314" s="438"/>
      <c r="AR314" s="449">
        <f t="shared" si="86"/>
        <v>-2708763.6238629995</v>
      </c>
      <c r="AS314" s="438"/>
      <c r="AT314" s="438"/>
      <c r="AU314" s="364">
        <v>-723494.86853799969</v>
      </c>
      <c r="AV314" s="369">
        <v>-1110874.970645</v>
      </c>
      <c r="AW314" s="505">
        <v>-874393.78468000004</v>
      </c>
      <c r="AX314" s="452">
        <f t="shared" si="87"/>
        <v>-2708763.6238629995</v>
      </c>
      <c r="AY314" s="250">
        <f t="shared" si="82"/>
        <v>0</v>
      </c>
      <c r="AZ314" s="439"/>
      <c r="BA314" s="582">
        <v>-792095.14056599978</v>
      </c>
      <c r="BB314" s="462">
        <f t="shared" si="76"/>
        <v>-3500858.7644289993</v>
      </c>
      <c r="BC314" s="463">
        <f t="shared" si="83"/>
        <v>0</v>
      </c>
      <c r="BD314" s="431"/>
      <c r="BE314" s="435">
        <f t="shared" si="73"/>
        <v>0</v>
      </c>
    </row>
    <row r="315" spans="1:57" ht="15">
      <c r="A315" s="415">
        <v>309</v>
      </c>
      <c r="B315" s="415">
        <v>1</v>
      </c>
      <c r="C315" t="s">
        <v>163</v>
      </c>
      <c r="D315" t="s">
        <v>828</v>
      </c>
      <c r="E315" s="364">
        <v>-50533.533744999964</v>
      </c>
      <c r="F315" s="364">
        <v>-44040.499989000004</v>
      </c>
      <c r="G315" s="369">
        <v>-43384.350275000004</v>
      </c>
      <c r="H315" s="364">
        <v>-51209.658074999992</v>
      </c>
      <c r="I315" s="350">
        <f t="shared" si="74"/>
        <v>-189168.04208399996</v>
      </c>
      <c r="K315" s="66">
        <f t="shared" si="75"/>
        <v>0</v>
      </c>
      <c r="L315" s="66"/>
      <c r="M315" s="415">
        <v>309</v>
      </c>
      <c r="N315" s="415">
        <v>1</v>
      </c>
      <c r="O315" s="66" t="s">
        <v>163</v>
      </c>
      <c r="P315" t="s">
        <v>828</v>
      </c>
      <c r="Q315" s="364">
        <v>-51209.658074999992</v>
      </c>
      <c r="R315" t="s">
        <v>2580</v>
      </c>
      <c r="S315" s="250"/>
      <c r="T315" s="159">
        <f t="shared" si="77"/>
        <v>0</v>
      </c>
      <c r="U315" s="250"/>
      <c r="V315" s="415">
        <v>309</v>
      </c>
      <c r="W315" t="s">
        <v>163</v>
      </c>
      <c r="X315" t="s">
        <v>828</v>
      </c>
      <c r="Y315" s="364">
        <v>-60183.960500000001</v>
      </c>
      <c r="Z315" s="364">
        <v>-50533.533744999964</v>
      </c>
      <c r="AA315" s="369">
        <v>-44040.499989000004</v>
      </c>
      <c r="AB315" s="505">
        <v>-43384.350275000004</v>
      </c>
      <c r="AC315" s="350">
        <f t="shared" si="84"/>
        <v>-198142.34450899999</v>
      </c>
      <c r="AG315" s="159">
        <f t="shared" si="85"/>
        <v>0</v>
      </c>
      <c r="AI315" s="442" t="s">
        <v>163</v>
      </c>
      <c r="AJ315" t="s">
        <v>828</v>
      </c>
      <c r="AK315" s="364">
        <v>0</v>
      </c>
      <c r="AL315" s="364">
        <v>-50533.533744999964</v>
      </c>
      <c r="AM315" s="369">
        <v>-44040.499989000004</v>
      </c>
      <c r="AN315" s="505">
        <v>-43384.350275000004</v>
      </c>
      <c r="AO315" s="448">
        <v>-204245.58423399998</v>
      </c>
      <c r="AP315" s="448"/>
      <c r="AQ315" s="438"/>
      <c r="AR315" s="449">
        <f t="shared" si="86"/>
        <v>-137958.38400899997</v>
      </c>
      <c r="AS315" s="438"/>
      <c r="AT315" s="438"/>
      <c r="AU315" s="364">
        <v>-50533.533744999964</v>
      </c>
      <c r="AV315" s="369">
        <v>-44040.499989000004</v>
      </c>
      <c r="AW315" s="505">
        <v>-43384.350275000004</v>
      </c>
      <c r="AX315" s="452">
        <f t="shared" si="87"/>
        <v>-137958.38400899997</v>
      </c>
      <c r="AY315" s="250">
        <f t="shared" si="82"/>
        <v>0</v>
      </c>
      <c r="AZ315" s="439"/>
      <c r="BA315" s="582">
        <v>-51209.658074999992</v>
      </c>
      <c r="BB315" s="462">
        <f t="shared" si="76"/>
        <v>-189168.04208399996</v>
      </c>
      <c r="BC315" s="463">
        <f t="shared" si="83"/>
        <v>0</v>
      </c>
      <c r="BD315" s="431"/>
      <c r="BE315" s="435">
        <f t="shared" si="73"/>
        <v>0</v>
      </c>
    </row>
    <row r="316" spans="1:57" ht="15">
      <c r="A316" s="415">
        <v>310</v>
      </c>
      <c r="B316" s="415">
        <v>54</v>
      </c>
      <c r="C316" t="s">
        <v>255</v>
      </c>
      <c r="D316" t="s">
        <v>868</v>
      </c>
      <c r="E316" s="364">
        <v>6660.1603759999853</v>
      </c>
      <c r="F316" s="364">
        <v>-63038.106059999991</v>
      </c>
      <c r="G316" s="369">
        <v>-53790.713889999955</v>
      </c>
      <c r="H316" s="364">
        <v>-103377.29196</v>
      </c>
      <c r="I316" s="350">
        <f t="shared" si="74"/>
        <v>-213545.95153399996</v>
      </c>
      <c r="K316" s="66">
        <f t="shared" si="75"/>
        <v>0</v>
      </c>
      <c r="L316" s="66"/>
      <c r="M316" s="415">
        <v>310</v>
      </c>
      <c r="N316" s="415">
        <v>54</v>
      </c>
      <c r="O316" s="66" t="s">
        <v>255</v>
      </c>
      <c r="P316" t="s">
        <v>868</v>
      </c>
      <c r="Q316" s="364">
        <v>-103377.29196</v>
      </c>
      <c r="R316" t="s">
        <v>2580</v>
      </c>
      <c r="S316" s="250"/>
      <c r="T316" s="159">
        <f t="shared" si="77"/>
        <v>0</v>
      </c>
      <c r="U316" s="250"/>
      <c r="V316" s="415">
        <v>310</v>
      </c>
      <c r="W316" t="s">
        <v>255</v>
      </c>
      <c r="X316" t="s">
        <v>868</v>
      </c>
      <c r="Y316" s="364">
        <v>-15092.509624000013</v>
      </c>
      <c r="Z316" s="364">
        <v>21752.67</v>
      </c>
      <c r="AA316" s="369">
        <v>-63038.106059999991</v>
      </c>
      <c r="AB316" s="505">
        <v>-53790.713889999955</v>
      </c>
      <c r="AC316" s="350">
        <f t="shared" si="84"/>
        <v>-110168.65957399996</v>
      </c>
      <c r="AG316" s="159">
        <f t="shared" si="85"/>
        <v>0</v>
      </c>
      <c r="AI316" s="442" t="s">
        <v>255</v>
      </c>
      <c r="AJ316" t="s">
        <v>868</v>
      </c>
      <c r="AK316" s="364">
        <v>0</v>
      </c>
      <c r="AL316" s="448">
        <v>6660.1603759999853</v>
      </c>
      <c r="AM316" s="369">
        <v>-63038.106059999991</v>
      </c>
      <c r="AN316" s="505">
        <v>-53790.713889999955</v>
      </c>
      <c r="AO316" s="448">
        <v>-56377.946553000002</v>
      </c>
      <c r="AP316" s="448">
        <v>6660.1603759999853</v>
      </c>
      <c r="AQ316" s="438"/>
      <c r="AR316" s="449">
        <f t="shared" si="86"/>
        <v>-110168.65957399996</v>
      </c>
      <c r="AS316" s="438"/>
      <c r="AT316" s="438"/>
      <c r="AU316" s="448">
        <v>6660.1603759999853</v>
      </c>
      <c r="AV316" s="369">
        <v>-63038.106059999991</v>
      </c>
      <c r="AW316" s="505">
        <v>-53790.713889999955</v>
      </c>
      <c r="AX316" s="452">
        <f t="shared" si="87"/>
        <v>-110168.65957399996</v>
      </c>
      <c r="AY316" s="250">
        <f t="shared" si="82"/>
        <v>0</v>
      </c>
      <c r="AZ316" s="439"/>
      <c r="BA316" s="582">
        <v>-103377.29196</v>
      </c>
      <c r="BB316" s="462">
        <f t="shared" si="76"/>
        <v>-213545.95153399996</v>
      </c>
      <c r="BC316" s="463">
        <f t="shared" si="83"/>
        <v>0</v>
      </c>
      <c r="BD316" s="431"/>
      <c r="BE316" s="435">
        <f t="shared" ref="BE316:BE336" si="88">+O316-C316</f>
        <v>0</v>
      </c>
    </row>
    <row r="317" spans="1:57" ht="15">
      <c r="A317" s="415">
        <v>311</v>
      </c>
      <c r="B317" s="415">
        <v>264</v>
      </c>
      <c r="C317" t="s">
        <v>622</v>
      </c>
      <c r="D317" t="s">
        <v>1029</v>
      </c>
      <c r="E317" s="364">
        <v>-101983.24753600001</v>
      </c>
      <c r="F317" s="364">
        <v>-74110.856030000024</v>
      </c>
      <c r="G317" s="369">
        <v>-260576.56551999995</v>
      </c>
      <c r="H317" s="364">
        <v>-227909.43020000006</v>
      </c>
      <c r="I317" s="350">
        <f t="shared" si="74"/>
        <v>-664580.09928600001</v>
      </c>
      <c r="K317" s="66">
        <f t="shared" si="75"/>
        <v>0</v>
      </c>
      <c r="L317" s="66"/>
      <c r="M317" s="415">
        <v>311</v>
      </c>
      <c r="N317" s="415">
        <v>264</v>
      </c>
      <c r="O317" s="66" t="s">
        <v>622</v>
      </c>
      <c r="P317" t="s">
        <v>1029</v>
      </c>
      <c r="Q317" s="364">
        <v>-227909.43020000006</v>
      </c>
      <c r="R317" t="s">
        <v>2580</v>
      </c>
      <c r="S317" s="250"/>
      <c r="T317" s="159">
        <f t="shared" si="77"/>
        <v>0</v>
      </c>
      <c r="U317" s="250"/>
      <c r="V317" s="415">
        <v>311</v>
      </c>
      <c r="W317" t="s">
        <v>622</v>
      </c>
      <c r="X317" t="s">
        <v>1029</v>
      </c>
      <c r="Y317" s="364">
        <v>-109092.65642199997</v>
      </c>
      <c r="Z317" s="364">
        <v>-101983.24753600001</v>
      </c>
      <c r="AA317" s="369">
        <v>-74110.856030000024</v>
      </c>
      <c r="AB317" s="505">
        <v>-260576.56551999995</v>
      </c>
      <c r="AC317" s="350">
        <f t="shared" si="84"/>
        <v>-545763.32550799998</v>
      </c>
      <c r="AG317" s="159">
        <f t="shared" si="85"/>
        <v>0</v>
      </c>
      <c r="AI317" s="442" t="s">
        <v>622</v>
      </c>
      <c r="AJ317" t="s">
        <v>1029</v>
      </c>
      <c r="AK317" s="364">
        <v>0</v>
      </c>
      <c r="AL317" s="364">
        <v>-101983.24753600001</v>
      </c>
      <c r="AM317" s="369">
        <v>-74110.856030000024</v>
      </c>
      <c r="AN317" s="505">
        <v>-260576.56551999995</v>
      </c>
      <c r="AO317" s="448">
        <v>-447203.15998799994</v>
      </c>
      <c r="AP317" s="448"/>
      <c r="AQ317" s="438"/>
      <c r="AR317" s="449">
        <f t="shared" si="86"/>
        <v>-436670.66908599995</v>
      </c>
      <c r="AS317" s="438"/>
      <c r="AT317" s="438"/>
      <c r="AU317" s="364">
        <v>-101983.24753600001</v>
      </c>
      <c r="AV317" s="369">
        <v>-74110.856030000024</v>
      </c>
      <c r="AW317" s="505">
        <v>-260576.56551999995</v>
      </c>
      <c r="AX317" s="452">
        <f t="shared" si="87"/>
        <v>-436670.66908599995</v>
      </c>
      <c r="AY317" s="250">
        <f t="shared" si="82"/>
        <v>0</v>
      </c>
      <c r="AZ317" s="439"/>
      <c r="BA317" s="582">
        <v>-227909.43020000006</v>
      </c>
      <c r="BB317" s="462">
        <f t="shared" si="76"/>
        <v>-664580.09928600001</v>
      </c>
      <c r="BC317" s="463">
        <f t="shared" si="83"/>
        <v>0</v>
      </c>
      <c r="BD317" s="431"/>
      <c r="BE317" s="435">
        <f t="shared" si="88"/>
        <v>0</v>
      </c>
    </row>
    <row r="318" spans="1:57" ht="15">
      <c r="A318" s="415">
        <v>312</v>
      </c>
      <c r="B318" s="415">
        <v>20</v>
      </c>
      <c r="C318" t="s">
        <v>201</v>
      </c>
      <c r="D318" t="s">
        <v>843</v>
      </c>
      <c r="E318" s="364">
        <v>0</v>
      </c>
      <c r="F318" s="364">
        <v>104791.86</v>
      </c>
      <c r="G318" s="369">
        <v>16901.067986000329</v>
      </c>
      <c r="H318" s="364">
        <v>56723.07016307069</v>
      </c>
      <c r="I318" s="350">
        <f t="shared" si="74"/>
        <v>178415.99814907101</v>
      </c>
      <c r="K318" s="66">
        <f t="shared" si="75"/>
        <v>0</v>
      </c>
      <c r="L318" s="66"/>
      <c r="M318" s="415">
        <v>312</v>
      </c>
      <c r="N318" s="415">
        <v>20</v>
      </c>
      <c r="O318" s="66" t="s">
        <v>201</v>
      </c>
      <c r="P318" t="s">
        <v>843</v>
      </c>
      <c r="Q318" s="364">
        <v>56723.07016307069</v>
      </c>
      <c r="R318" t="s">
        <v>2580</v>
      </c>
      <c r="S318" s="250"/>
      <c r="T318" s="159">
        <f t="shared" si="77"/>
        <v>0</v>
      </c>
      <c r="U318" s="250"/>
      <c r="V318" s="415">
        <v>312</v>
      </c>
      <c r="W318" t="s">
        <v>201</v>
      </c>
      <c r="X318" t="s">
        <v>843</v>
      </c>
      <c r="Y318" s="364">
        <v>0</v>
      </c>
      <c r="Z318" s="364">
        <v>0</v>
      </c>
      <c r="AA318" s="369">
        <v>104791.86</v>
      </c>
      <c r="AB318" s="505">
        <v>16901.067986000329</v>
      </c>
      <c r="AC318" s="350">
        <f t="shared" si="84"/>
        <v>121692.92798600033</v>
      </c>
      <c r="AG318" s="159">
        <f t="shared" si="85"/>
        <v>0</v>
      </c>
      <c r="AI318" s="442" t="s">
        <v>201</v>
      </c>
      <c r="AJ318" t="s">
        <v>843</v>
      </c>
      <c r="AK318" s="364">
        <v>0</v>
      </c>
      <c r="AL318" s="364">
        <v>0</v>
      </c>
      <c r="AM318" s="369">
        <v>104791.86</v>
      </c>
      <c r="AN318" s="505">
        <v>16901.067986000329</v>
      </c>
      <c r="AO318" s="448">
        <v>104791.85860061349</v>
      </c>
      <c r="AP318" s="448"/>
      <c r="AQ318" s="438"/>
      <c r="AR318" s="449">
        <f t="shared" si="86"/>
        <v>121692.92798600033</v>
      </c>
      <c r="AS318" s="438"/>
      <c r="AT318" s="438"/>
      <c r="AU318" s="364">
        <v>0</v>
      </c>
      <c r="AV318" s="369">
        <v>104791.86</v>
      </c>
      <c r="AW318" s="505">
        <v>16901.067986000329</v>
      </c>
      <c r="AX318" s="452">
        <f t="shared" si="87"/>
        <v>121692.92798600033</v>
      </c>
      <c r="AY318" s="250">
        <f t="shared" si="82"/>
        <v>0</v>
      </c>
      <c r="AZ318" s="439"/>
      <c r="BA318" s="582">
        <v>56723.07016307069</v>
      </c>
      <c r="BB318" s="462">
        <f t="shared" si="76"/>
        <v>178415.99814907101</v>
      </c>
      <c r="BC318" s="463">
        <f t="shared" si="83"/>
        <v>0</v>
      </c>
      <c r="BD318" s="431"/>
      <c r="BE318" s="435">
        <f t="shared" si="88"/>
        <v>0</v>
      </c>
    </row>
    <row r="319" spans="1:57" ht="15">
      <c r="A319" s="415">
        <v>313</v>
      </c>
      <c r="B319" s="415">
        <v>255</v>
      </c>
      <c r="C319" t="s">
        <v>613</v>
      </c>
      <c r="D319" t="s">
        <v>1624</v>
      </c>
      <c r="E319" s="364">
        <v>-172702.87323200004</v>
      </c>
      <c r="F319" s="364">
        <v>-246759.90121300024</v>
      </c>
      <c r="G319" s="369">
        <v>-317089.35920599988</v>
      </c>
      <c r="H319" s="364">
        <v>-535820.96140999999</v>
      </c>
      <c r="I319" s="350">
        <f t="shared" si="74"/>
        <v>-1272373.0950610002</v>
      </c>
      <c r="K319" s="66">
        <f t="shared" si="75"/>
        <v>0</v>
      </c>
      <c r="L319" s="66"/>
      <c r="M319" s="415">
        <v>313</v>
      </c>
      <c r="N319" s="415">
        <v>255</v>
      </c>
      <c r="O319" s="66" t="s">
        <v>613</v>
      </c>
      <c r="P319" t="s">
        <v>1624</v>
      </c>
      <c r="Q319" s="364">
        <v>-535820.96140999999</v>
      </c>
      <c r="R319" t="s">
        <v>2580</v>
      </c>
      <c r="S319" s="250"/>
      <c r="T319" s="159">
        <f t="shared" si="77"/>
        <v>0</v>
      </c>
      <c r="U319" s="250"/>
      <c r="V319" s="415">
        <v>313</v>
      </c>
      <c r="W319" t="s">
        <v>613</v>
      </c>
      <c r="X319" t="s">
        <v>1624</v>
      </c>
      <c r="Y319" s="364">
        <v>-293712.58326100017</v>
      </c>
      <c r="Z319" s="364">
        <v>-172702.87323200004</v>
      </c>
      <c r="AA319" s="369">
        <v>-246759.90121300024</v>
      </c>
      <c r="AB319" s="505">
        <v>-317089.35920599988</v>
      </c>
      <c r="AC319" s="350">
        <f t="shared" si="84"/>
        <v>-1030264.7169120003</v>
      </c>
      <c r="AG319" s="159">
        <f t="shared" si="85"/>
        <v>0</v>
      </c>
      <c r="AI319" s="442" t="s">
        <v>613</v>
      </c>
      <c r="AJ319" t="s">
        <v>1624</v>
      </c>
      <c r="AK319" s="364">
        <v>0</v>
      </c>
      <c r="AL319" s="364">
        <v>-172702.87323200004</v>
      </c>
      <c r="AM319" s="369">
        <v>-246759.90121300024</v>
      </c>
      <c r="AN319" s="505">
        <v>-317089.35920599988</v>
      </c>
      <c r="AO319" s="448">
        <v>-1088628.5077060005</v>
      </c>
      <c r="AP319" s="448"/>
      <c r="AQ319" s="438"/>
      <c r="AR319" s="449">
        <f t="shared" si="86"/>
        <v>-736552.13365100021</v>
      </c>
      <c r="AS319" s="438"/>
      <c r="AT319" s="438"/>
      <c r="AU319" s="364">
        <v>-172702.87323200004</v>
      </c>
      <c r="AV319" s="369">
        <v>-246759.90121300024</v>
      </c>
      <c r="AW319" s="505">
        <v>-317089.35920599988</v>
      </c>
      <c r="AX319" s="452">
        <f t="shared" si="87"/>
        <v>-736552.13365100021</v>
      </c>
      <c r="AY319" s="250">
        <f t="shared" si="82"/>
        <v>0</v>
      </c>
      <c r="AZ319" s="439"/>
      <c r="BA319" s="582">
        <v>-535820.96140999999</v>
      </c>
      <c r="BB319" s="462">
        <f t="shared" si="76"/>
        <v>-1272373.0950610002</v>
      </c>
      <c r="BC319" s="463">
        <f t="shared" si="83"/>
        <v>0</v>
      </c>
      <c r="BD319" s="431"/>
      <c r="BE319" s="435">
        <f t="shared" si="88"/>
        <v>0</v>
      </c>
    </row>
    <row r="320" spans="1:57" ht="15">
      <c r="A320" s="415">
        <v>314</v>
      </c>
      <c r="B320" s="415">
        <v>327</v>
      </c>
      <c r="C320" t="s">
        <v>736</v>
      </c>
      <c r="D320" t="s">
        <v>1631</v>
      </c>
      <c r="E320" s="364">
        <v>790395.92453315808</v>
      </c>
      <c r="F320" s="364">
        <v>-170559.03092952311</v>
      </c>
      <c r="G320" s="369">
        <v>85173.437147000339</v>
      </c>
      <c r="H320" s="364">
        <v>-171137.07698979462</v>
      </c>
      <c r="I320" s="350">
        <f t="shared" si="74"/>
        <v>533873.25376084074</v>
      </c>
      <c r="K320" s="66">
        <f t="shared" si="75"/>
        <v>0</v>
      </c>
      <c r="L320" s="66"/>
      <c r="M320" s="415">
        <v>314</v>
      </c>
      <c r="N320" s="415">
        <v>327</v>
      </c>
      <c r="O320" s="66" t="s">
        <v>736</v>
      </c>
      <c r="P320" t="s">
        <v>1631</v>
      </c>
      <c r="Q320" s="364">
        <v>-171137.07698979462</v>
      </c>
      <c r="R320" t="s">
        <v>2580</v>
      </c>
      <c r="S320" s="250"/>
      <c r="T320" s="159">
        <f t="shared" si="77"/>
        <v>0</v>
      </c>
      <c r="U320" s="250"/>
      <c r="V320" s="415">
        <v>314</v>
      </c>
      <c r="W320" t="s">
        <v>736</v>
      </c>
      <c r="X320" t="s">
        <v>1631</v>
      </c>
      <c r="Y320" s="364">
        <v>457966.33272664761</v>
      </c>
      <c r="Z320" s="364">
        <v>332429.59180651046</v>
      </c>
      <c r="AA320" s="369">
        <v>-170559.03092952311</v>
      </c>
      <c r="AB320" s="505">
        <v>85173.437147000339</v>
      </c>
      <c r="AC320" s="350">
        <f t="shared" si="84"/>
        <v>705010.33075063536</v>
      </c>
      <c r="AG320" s="159">
        <f t="shared" si="85"/>
        <v>0</v>
      </c>
      <c r="AI320" s="442" t="s">
        <v>736</v>
      </c>
      <c r="AJ320" t="s">
        <v>1631</v>
      </c>
      <c r="AK320" s="364">
        <v>0</v>
      </c>
      <c r="AL320" s="448">
        <v>790395.92453315808</v>
      </c>
      <c r="AM320" s="369">
        <v>-170559.03092952311</v>
      </c>
      <c r="AN320" s="505">
        <v>85173.437147000339</v>
      </c>
      <c r="AO320" s="448">
        <v>619836.89360363502</v>
      </c>
      <c r="AP320" s="448">
        <v>790395.92453315808</v>
      </c>
      <c r="AQ320" s="438"/>
      <c r="AR320" s="449">
        <f t="shared" si="86"/>
        <v>705010.33075063536</v>
      </c>
      <c r="AS320" s="438"/>
      <c r="AT320" s="438"/>
      <c r="AU320" s="448">
        <v>790395.92453315808</v>
      </c>
      <c r="AV320" s="369">
        <v>-170559.03092952311</v>
      </c>
      <c r="AW320" s="505">
        <v>85173.437147000339</v>
      </c>
      <c r="AX320" s="452">
        <f t="shared" si="87"/>
        <v>705010.33075063536</v>
      </c>
      <c r="AY320" s="250">
        <f t="shared" si="82"/>
        <v>0</v>
      </c>
      <c r="AZ320" s="439"/>
      <c r="BA320" s="582">
        <v>-171137.07698979462</v>
      </c>
      <c r="BB320" s="462">
        <f t="shared" si="76"/>
        <v>533873.25376084074</v>
      </c>
      <c r="BC320" s="463">
        <f t="shared" si="83"/>
        <v>0</v>
      </c>
      <c r="BD320" s="431"/>
      <c r="BE320" s="435">
        <f t="shared" si="88"/>
        <v>0</v>
      </c>
    </row>
    <row r="321" spans="1:57" ht="15">
      <c r="A321" s="415">
        <v>315</v>
      </c>
      <c r="B321" s="415">
        <v>299</v>
      </c>
      <c r="C321" s="348" t="s">
        <v>1639</v>
      </c>
      <c r="D321" s="344" t="s">
        <v>1642</v>
      </c>
      <c r="E321" s="366"/>
      <c r="F321" s="366"/>
      <c r="G321" s="369">
        <v>-84770.4</v>
      </c>
      <c r="H321" s="364">
        <v>-118765.95</v>
      </c>
      <c r="I321" s="350">
        <f t="shared" si="74"/>
        <v>-203536.34999999998</v>
      </c>
      <c r="K321" s="66">
        <f t="shared" si="75"/>
        <v>0</v>
      </c>
      <c r="L321" s="66"/>
      <c r="M321" s="415">
        <v>315</v>
      </c>
      <c r="N321" s="415">
        <v>299</v>
      </c>
      <c r="O321" s="414" t="s">
        <v>1639</v>
      </c>
      <c r="P321" s="344" t="s">
        <v>1642</v>
      </c>
      <c r="Q321" s="364">
        <v>-118765.95</v>
      </c>
      <c r="R321" t="s">
        <v>2580</v>
      </c>
      <c r="S321" s="250"/>
      <c r="T321" s="159">
        <f t="shared" si="77"/>
        <v>0</v>
      </c>
      <c r="U321" s="250"/>
      <c r="V321" s="415">
        <v>315</v>
      </c>
      <c r="W321" s="348" t="s">
        <v>1639</v>
      </c>
      <c r="X321" s="344" t="s">
        <v>1642</v>
      </c>
      <c r="Y321" s="366">
        <v>0</v>
      </c>
      <c r="Z321" s="366"/>
      <c r="AA321" s="369"/>
      <c r="AB321" s="505">
        <v>-84770.4</v>
      </c>
      <c r="AC321" s="350">
        <f t="shared" si="84"/>
        <v>-84770.4</v>
      </c>
      <c r="AG321" s="159">
        <f t="shared" si="85"/>
        <v>0</v>
      </c>
      <c r="AI321" s="442" t="s">
        <v>1639</v>
      </c>
      <c r="AJ321" s="344" t="s">
        <v>1642</v>
      </c>
      <c r="AK321" s="366">
        <v>0</v>
      </c>
      <c r="AL321" s="366"/>
      <c r="AM321" s="369"/>
      <c r="AN321" s="505">
        <v>-84770.4</v>
      </c>
      <c r="AO321" s="448">
        <v>0</v>
      </c>
      <c r="AP321" s="448"/>
      <c r="AQ321" s="438"/>
      <c r="AR321" s="449">
        <f t="shared" si="86"/>
        <v>-84770.4</v>
      </c>
      <c r="AS321" s="438"/>
      <c r="AT321" s="438"/>
      <c r="AU321" s="366"/>
      <c r="AV321" s="369"/>
      <c r="AW321" s="505">
        <v>-84770.4</v>
      </c>
      <c r="AX321" s="452">
        <f t="shared" si="87"/>
        <v>-84770.4</v>
      </c>
      <c r="AY321" s="250">
        <f t="shared" si="82"/>
        <v>0</v>
      </c>
      <c r="AZ321" s="439"/>
      <c r="BA321" s="582">
        <v>-118765.95</v>
      </c>
      <c r="BB321" s="462">
        <f t="shared" si="76"/>
        <v>-203536.34999999998</v>
      </c>
      <c r="BC321" s="463">
        <f t="shared" si="83"/>
        <v>0</v>
      </c>
      <c r="BD321" s="431"/>
      <c r="BE321" s="435">
        <f t="shared" si="88"/>
        <v>0</v>
      </c>
    </row>
    <row r="322" spans="1:57" ht="15">
      <c r="A322" s="415">
        <v>316</v>
      </c>
      <c r="B322" s="415">
        <v>161</v>
      </c>
      <c r="C322" t="s">
        <v>438</v>
      </c>
      <c r="D322" t="s">
        <v>949</v>
      </c>
      <c r="E322" s="364">
        <v>-52356.277533999993</v>
      </c>
      <c r="F322" s="364">
        <v>0</v>
      </c>
      <c r="G322" s="369">
        <v>-77694.188728000037</v>
      </c>
      <c r="H322" s="364">
        <v>-59252.830679999955</v>
      </c>
      <c r="I322" s="350">
        <f t="shared" si="74"/>
        <v>-189303.29694199999</v>
      </c>
      <c r="K322" s="66">
        <f t="shared" si="75"/>
        <v>0</v>
      </c>
      <c r="L322" s="66"/>
      <c r="M322" s="415">
        <v>316</v>
      </c>
      <c r="N322" s="415">
        <v>161</v>
      </c>
      <c r="O322" s="66" t="s">
        <v>438</v>
      </c>
      <c r="P322" t="s">
        <v>949</v>
      </c>
      <c r="Q322" s="364">
        <v>-59252.830679999955</v>
      </c>
      <c r="R322" t="s">
        <v>2580</v>
      </c>
      <c r="S322" s="250"/>
      <c r="T322" s="159">
        <f t="shared" si="77"/>
        <v>0</v>
      </c>
      <c r="U322" s="250"/>
      <c r="V322" s="415">
        <v>316</v>
      </c>
      <c r="W322" t="s">
        <v>438</v>
      </c>
      <c r="X322" t="s">
        <v>949</v>
      </c>
      <c r="Y322" s="364">
        <v>-74967.085432000007</v>
      </c>
      <c r="Z322" s="364">
        <v>-52356.277533999993</v>
      </c>
      <c r="AA322" s="369">
        <v>37177.985963999934</v>
      </c>
      <c r="AB322" s="505">
        <v>-77694.188728000037</v>
      </c>
      <c r="AC322" s="350">
        <f t="shared" si="84"/>
        <v>-167839.56573000009</v>
      </c>
      <c r="AG322" s="159">
        <f t="shared" si="85"/>
        <v>0</v>
      </c>
      <c r="AI322" s="442" t="s">
        <v>438</v>
      </c>
      <c r="AJ322" t="s">
        <v>949</v>
      </c>
      <c r="AK322" s="364">
        <v>0</v>
      </c>
      <c r="AL322" s="364">
        <v>-52356.277533999993</v>
      </c>
      <c r="AM322" s="369">
        <v>0</v>
      </c>
      <c r="AN322" s="505">
        <v>-77694.188728000037</v>
      </c>
      <c r="AO322" s="448">
        <v>-90145.377002000067</v>
      </c>
      <c r="AP322" s="448"/>
      <c r="AQ322" s="438"/>
      <c r="AR322" s="449">
        <f t="shared" si="86"/>
        <v>-130050.46626200003</v>
      </c>
      <c r="AS322" s="438"/>
      <c r="AT322" s="438"/>
      <c r="AU322" s="364">
        <v>-52356.277533999993</v>
      </c>
      <c r="AV322" s="369">
        <v>0</v>
      </c>
      <c r="AW322" s="505">
        <v>-77694.188728000037</v>
      </c>
      <c r="AX322" s="452">
        <f t="shared" si="87"/>
        <v>-130050.46626200003</v>
      </c>
      <c r="AY322" s="250">
        <f t="shared" si="82"/>
        <v>0</v>
      </c>
      <c r="AZ322" s="439"/>
      <c r="BA322" s="582">
        <v>-59252.830679999955</v>
      </c>
      <c r="BB322" s="462">
        <f t="shared" si="76"/>
        <v>-189303.29694199999</v>
      </c>
      <c r="BC322" s="463">
        <f t="shared" si="83"/>
        <v>0</v>
      </c>
      <c r="BD322" s="431"/>
      <c r="BE322" s="435">
        <f t="shared" si="88"/>
        <v>0</v>
      </c>
    </row>
    <row r="323" spans="1:57" ht="15">
      <c r="A323" s="415">
        <v>317</v>
      </c>
      <c r="B323" s="415">
        <v>209</v>
      </c>
      <c r="C323" t="s">
        <v>531</v>
      </c>
      <c r="D323" t="s">
        <v>995</v>
      </c>
      <c r="E323" s="364">
        <v>0</v>
      </c>
      <c r="F323" s="364">
        <v>-252682.41508434521</v>
      </c>
      <c r="G323" s="369">
        <v>-227227.47886200016</v>
      </c>
      <c r="H323" s="364">
        <v>-659241.3198937634</v>
      </c>
      <c r="I323" s="350">
        <f t="shared" si="74"/>
        <v>-1139151.2138401088</v>
      </c>
      <c r="K323" s="66">
        <f t="shared" si="75"/>
        <v>0</v>
      </c>
      <c r="L323" s="66"/>
      <c r="M323" s="415">
        <v>317</v>
      </c>
      <c r="N323" s="415">
        <v>209</v>
      </c>
      <c r="O323" s="66" t="s">
        <v>531</v>
      </c>
      <c r="P323" t="s">
        <v>995</v>
      </c>
      <c r="Q323" s="364">
        <v>-659241.3198937634</v>
      </c>
      <c r="R323" t="s">
        <v>2580</v>
      </c>
      <c r="S323" s="250"/>
      <c r="T323" s="159">
        <f t="shared" si="77"/>
        <v>0</v>
      </c>
      <c r="U323" s="250"/>
      <c r="V323" s="415">
        <v>317</v>
      </c>
      <c r="W323" t="s">
        <v>531</v>
      </c>
      <c r="X323" t="s">
        <v>995</v>
      </c>
      <c r="Y323" s="364">
        <v>-163400.14934709825</v>
      </c>
      <c r="Z323" s="364">
        <v>0</v>
      </c>
      <c r="AA323" s="369">
        <v>-252682.41508434521</v>
      </c>
      <c r="AB323" s="505">
        <v>-227227.47886200016</v>
      </c>
      <c r="AC323" s="350">
        <f t="shared" si="84"/>
        <v>-643310.04329344362</v>
      </c>
      <c r="AG323" s="159">
        <f t="shared" si="85"/>
        <v>0</v>
      </c>
      <c r="AI323" s="442" t="s">
        <v>531</v>
      </c>
      <c r="AJ323" t="s">
        <v>995</v>
      </c>
      <c r="AK323" s="364">
        <v>0</v>
      </c>
      <c r="AL323" s="364">
        <v>0</v>
      </c>
      <c r="AM323" s="369">
        <v>-252682.41508434521</v>
      </c>
      <c r="AN323" s="505">
        <v>-227227.47886200016</v>
      </c>
      <c r="AO323" s="448">
        <v>-722932.85443144338</v>
      </c>
      <c r="AP323" s="448"/>
      <c r="AQ323" s="438"/>
      <c r="AR323" s="449">
        <f t="shared" si="86"/>
        <v>-479909.89394634537</v>
      </c>
      <c r="AS323" s="438"/>
      <c r="AT323" s="438"/>
      <c r="AU323" s="364">
        <v>0</v>
      </c>
      <c r="AV323" s="369">
        <v>-252682.41508434521</v>
      </c>
      <c r="AW323" s="505">
        <v>-227227.47886200016</v>
      </c>
      <c r="AX323" s="452">
        <f t="shared" si="87"/>
        <v>-479909.89394634537</v>
      </c>
      <c r="AY323" s="250">
        <f t="shared" si="82"/>
        <v>0</v>
      </c>
      <c r="AZ323" s="439"/>
      <c r="BA323" s="582">
        <v>-659241.3198937634</v>
      </c>
      <c r="BB323" s="462">
        <f t="shared" si="76"/>
        <v>-1139151.2138401088</v>
      </c>
      <c r="BC323" s="463">
        <f t="shared" si="83"/>
        <v>0</v>
      </c>
      <c r="BD323" s="431"/>
      <c r="BE323" s="435">
        <f t="shared" si="88"/>
        <v>0</v>
      </c>
    </row>
    <row r="324" spans="1:57" ht="15">
      <c r="A324" s="415">
        <v>318</v>
      </c>
      <c r="B324" s="415">
        <v>148</v>
      </c>
      <c r="C324" t="s">
        <v>412</v>
      </c>
      <c r="D324" t="s">
        <v>937</v>
      </c>
      <c r="E324" s="364">
        <v>-164487.44099800009</v>
      </c>
      <c r="F324" s="364">
        <v>-243466.42912499994</v>
      </c>
      <c r="G324" s="369">
        <v>-184124.48132999998</v>
      </c>
      <c r="H324" s="364">
        <v>-342728.69447499997</v>
      </c>
      <c r="I324" s="350">
        <f t="shared" si="74"/>
        <v>-934807.04592800001</v>
      </c>
      <c r="K324" s="66">
        <f t="shared" si="75"/>
        <v>0</v>
      </c>
      <c r="L324" s="66"/>
      <c r="M324" s="415">
        <v>318</v>
      </c>
      <c r="N324" s="415">
        <v>148</v>
      </c>
      <c r="O324" s="66" t="s">
        <v>412</v>
      </c>
      <c r="P324" t="s">
        <v>937</v>
      </c>
      <c r="Q324" s="364">
        <v>-342728.69447499997</v>
      </c>
      <c r="R324" t="s">
        <v>2580</v>
      </c>
      <c r="S324" s="250"/>
      <c r="T324" s="159">
        <f t="shared" si="77"/>
        <v>0</v>
      </c>
      <c r="U324" s="250"/>
      <c r="V324" s="415">
        <v>318</v>
      </c>
      <c r="W324" t="s">
        <v>412</v>
      </c>
      <c r="X324" t="s">
        <v>937</v>
      </c>
      <c r="Y324" s="364">
        <v>-115197.94454099993</v>
      </c>
      <c r="Z324" s="364">
        <v>-164487.44099800009</v>
      </c>
      <c r="AA324" s="369">
        <v>-243466.42912499994</v>
      </c>
      <c r="AB324" s="505">
        <v>-184124.48132999998</v>
      </c>
      <c r="AC324" s="350">
        <f t="shared" si="84"/>
        <v>-707276.29599399993</v>
      </c>
      <c r="AG324" s="159">
        <f t="shared" si="85"/>
        <v>0</v>
      </c>
      <c r="AI324" s="442" t="s">
        <v>412</v>
      </c>
      <c r="AJ324" t="s">
        <v>937</v>
      </c>
      <c r="AK324" s="364">
        <v>0</v>
      </c>
      <c r="AL324" s="364">
        <v>-164487.44099800009</v>
      </c>
      <c r="AM324" s="369">
        <v>-243466.42912499994</v>
      </c>
      <c r="AN324" s="505">
        <v>-184124.48132999998</v>
      </c>
      <c r="AO324" s="448">
        <v>-589441.48466399999</v>
      </c>
      <c r="AP324" s="448"/>
      <c r="AQ324" s="438"/>
      <c r="AR324" s="449">
        <f t="shared" si="86"/>
        <v>-592078.35145299998</v>
      </c>
      <c r="AS324" s="438"/>
      <c r="AT324" s="438"/>
      <c r="AU324" s="364">
        <v>-164487.44099800009</v>
      </c>
      <c r="AV324" s="369">
        <v>-243466.42912499994</v>
      </c>
      <c r="AW324" s="505">
        <v>-184124.48132999998</v>
      </c>
      <c r="AX324" s="452">
        <f t="shared" si="87"/>
        <v>-592078.35145299998</v>
      </c>
      <c r="AY324" s="250">
        <f t="shared" si="82"/>
        <v>0</v>
      </c>
      <c r="AZ324" s="439"/>
      <c r="BA324" s="582">
        <v>-342728.69447499997</v>
      </c>
      <c r="BB324" s="462">
        <f t="shared" si="76"/>
        <v>-934807.04592800001</v>
      </c>
      <c r="BC324" s="463">
        <f t="shared" si="83"/>
        <v>0</v>
      </c>
      <c r="BD324" s="431"/>
      <c r="BE324" s="435">
        <f t="shared" si="88"/>
        <v>0</v>
      </c>
    </row>
    <row r="325" spans="1:57" ht="15">
      <c r="A325" s="415">
        <v>319</v>
      </c>
      <c r="B325" s="415">
        <v>124</v>
      </c>
      <c r="C325" s="344" t="s">
        <v>1643</v>
      </c>
      <c r="D325" s="344" t="s">
        <v>1644</v>
      </c>
      <c r="E325" s="366"/>
      <c r="F325" s="366">
        <v>-29160.249999999993</v>
      </c>
      <c r="G325" s="369">
        <v>-52696.451803999982</v>
      </c>
      <c r="H325" s="364">
        <v>-112269.25551</v>
      </c>
      <c r="I325" s="350">
        <f t="shared" si="74"/>
        <v>-194125.957314</v>
      </c>
      <c r="K325" s="66">
        <f t="shared" si="75"/>
        <v>0</v>
      </c>
      <c r="L325" s="66"/>
      <c r="M325" s="415">
        <v>319</v>
      </c>
      <c r="N325" s="415">
        <v>124</v>
      </c>
      <c r="O325" s="66" t="s">
        <v>1643</v>
      </c>
      <c r="P325" s="344" t="s">
        <v>1644</v>
      </c>
      <c r="Q325" s="364">
        <v>-112269.25551</v>
      </c>
      <c r="R325" t="s">
        <v>2580</v>
      </c>
      <c r="S325" s="250"/>
      <c r="T325" s="159">
        <f t="shared" si="77"/>
        <v>0</v>
      </c>
      <c r="U325" s="250"/>
      <c r="V325" s="415">
        <v>319</v>
      </c>
      <c r="W325" s="344" t="s">
        <v>1643</v>
      </c>
      <c r="X325" s="344" t="s">
        <v>1644</v>
      </c>
      <c r="Y325" s="366">
        <v>0</v>
      </c>
      <c r="Z325" s="366"/>
      <c r="AA325" s="369">
        <v>-29160.249999999993</v>
      </c>
      <c r="AB325" s="505">
        <v>-52696.451803999982</v>
      </c>
      <c r="AC325" s="350">
        <f t="shared" si="84"/>
        <v>-81856.701803999982</v>
      </c>
      <c r="AG325" s="159">
        <f t="shared" si="85"/>
        <v>0</v>
      </c>
      <c r="AI325" s="442" t="s">
        <v>1643</v>
      </c>
      <c r="AJ325" s="344" t="s">
        <v>1644</v>
      </c>
      <c r="AK325" s="366">
        <v>0</v>
      </c>
      <c r="AL325" s="366"/>
      <c r="AM325" s="369">
        <v>-29160.249999999993</v>
      </c>
      <c r="AN325" s="505">
        <v>-52696.451803999982</v>
      </c>
      <c r="AO325" s="448">
        <v>-29160.249999999993</v>
      </c>
      <c r="AP325" s="448"/>
      <c r="AQ325" s="438"/>
      <c r="AR325" s="449">
        <f t="shared" si="86"/>
        <v>-81856.701803999982</v>
      </c>
      <c r="AS325" s="438"/>
      <c r="AT325" s="438"/>
      <c r="AU325" s="366"/>
      <c r="AV325" s="369">
        <v>-29160.249999999993</v>
      </c>
      <c r="AW325" s="505">
        <v>-52696.451803999982</v>
      </c>
      <c r="AX325" s="452">
        <f t="shared" si="87"/>
        <v>-81856.701803999982</v>
      </c>
      <c r="AY325" s="250">
        <f t="shared" si="82"/>
        <v>0</v>
      </c>
      <c r="AZ325" s="439"/>
      <c r="BA325" s="582">
        <v>-112269.25551</v>
      </c>
      <c r="BB325" s="462">
        <f t="shared" si="76"/>
        <v>-194125.957314</v>
      </c>
      <c r="BC325" s="463">
        <f t="shared" si="83"/>
        <v>0</v>
      </c>
      <c r="BD325" s="431"/>
      <c r="BE325" s="435">
        <f t="shared" si="88"/>
        <v>0</v>
      </c>
    </row>
    <row r="326" spans="1:57" ht="15">
      <c r="A326" s="415">
        <v>320</v>
      </c>
      <c r="B326" s="415">
        <v>168</v>
      </c>
      <c r="C326" t="s">
        <v>452</v>
      </c>
      <c r="D326" t="s">
        <v>955</v>
      </c>
      <c r="E326" s="364">
        <v>-53494.41510800003</v>
      </c>
      <c r="F326" s="364">
        <v>-48226.072175000001</v>
      </c>
      <c r="G326" s="369">
        <v>-23144.727584000007</v>
      </c>
      <c r="H326" s="364">
        <v>-83186.320168999999</v>
      </c>
      <c r="I326" s="350">
        <f t="shared" si="74"/>
        <v>-208051.53503600002</v>
      </c>
      <c r="K326" s="66">
        <f t="shared" si="75"/>
        <v>0</v>
      </c>
      <c r="L326" s="66"/>
      <c r="M326" s="415">
        <v>320</v>
      </c>
      <c r="N326" s="415">
        <v>168</v>
      </c>
      <c r="O326" s="66" t="s">
        <v>452</v>
      </c>
      <c r="P326" t="s">
        <v>955</v>
      </c>
      <c r="Q326" s="364">
        <v>-83186.320168999999</v>
      </c>
      <c r="R326" t="s">
        <v>2580</v>
      </c>
      <c r="S326" s="250"/>
      <c r="T326" s="159">
        <f t="shared" si="77"/>
        <v>0</v>
      </c>
      <c r="U326" s="250"/>
      <c r="V326" s="415">
        <v>320</v>
      </c>
      <c r="W326" t="s">
        <v>452</v>
      </c>
      <c r="X326" t="s">
        <v>955</v>
      </c>
      <c r="Y326" s="364">
        <v>-43541.05119999998</v>
      </c>
      <c r="Z326" s="364">
        <v>-53494.41510800003</v>
      </c>
      <c r="AA326" s="369">
        <v>-48226.072175000001</v>
      </c>
      <c r="AB326" s="505">
        <v>-23144.727584000007</v>
      </c>
      <c r="AC326" s="350">
        <f t="shared" si="84"/>
        <v>-168406.26606700002</v>
      </c>
      <c r="AG326" s="159">
        <f t="shared" si="85"/>
        <v>0</v>
      </c>
      <c r="AI326" s="442" t="s">
        <v>452</v>
      </c>
      <c r="AJ326" t="s">
        <v>955</v>
      </c>
      <c r="AK326" s="364">
        <v>0</v>
      </c>
      <c r="AL326" s="364">
        <v>-53494.41510800003</v>
      </c>
      <c r="AM326" s="369">
        <v>-48226.072175000001</v>
      </c>
      <c r="AN326" s="505">
        <v>-23144.727584000007</v>
      </c>
      <c r="AO326" s="448">
        <v>-183931.56848300001</v>
      </c>
      <c r="AP326" s="448"/>
      <c r="AQ326" s="438"/>
      <c r="AR326" s="449">
        <f t="shared" si="86"/>
        <v>-124865.21486700003</v>
      </c>
      <c r="AS326" s="438"/>
      <c r="AT326" s="438"/>
      <c r="AU326" s="364">
        <v>-53494.41510800003</v>
      </c>
      <c r="AV326" s="369">
        <v>-48226.072175000001</v>
      </c>
      <c r="AW326" s="505">
        <v>-23144.727584000007</v>
      </c>
      <c r="AX326" s="452">
        <f t="shared" si="87"/>
        <v>-124865.21486700003</v>
      </c>
      <c r="AY326" s="250">
        <f t="shared" si="82"/>
        <v>0</v>
      </c>
      <c r="AZ326" s="439"/>
      <c r="BA326" s="582">
        <v>-83186.320168999999</v>
      </c>
      <c r="BB326" s="462">
        <f t="shared" si="76"/>
        <v>-208051.53503600002</v>
      </c>
      <c r="BC326" s="463">
        <f t="shared" si="83"/>
        <v>0</v>
      </c>
      <c r="BD326" s="431"/>
      <c r="BE326" s="435">
        <f t="shared" si="88"/>
        <v>0</v>
      </c>
    </row>
    <row r="327" spans="1:57" ht="15">
      <c r="A327" s="415">
        <v>321</v>
      </c>
      <c r="B327" s="415">
        <v>191</v>
      </c>
      <c r="C327" t="s">
        <v>495</v>
      </c>
      <c r="D327" t="s">
        <v>977</v>
      </c>
      <c r="E327" s="364">
        <v>0</v>
      </c>
      <c r="F327" s="364">
        <v>-69005.558855999974</v>
      </c>
      <c r="G327" s="369">
        <v>-115107.94071</v>
      </c>
      <c r="H327" s="364">
        <v>-110463.38267000002</v>
      </c>
      <c r="I327" s="350">
        <f t="shared" ref="I327:I336" si="89">SUM(E327:H327)</f>
        <v>-294576.88223599998</v>
      </c>
      <c r="K327" s="66">
        <f t="shared" ref="K327:K336" si="90">+O327-C327</f>
        <v>0</v>
      </c>
      <c r="L327" s="66"/>
      <c r="M327" s="415">
        <v>321</v>
      </c>
      <c r="N327" s="415">
        <v>191</v>
      </c>
      <c r="O327" s="66" t="s">
        <v>495</v>
      </c>
      <c r="P327" t="s">
        <v>977</v>
      </c>
      <c r="Q327" s="364">
        <v>-110463.38267000002</v>
      </c>
      <c r="R327" t="s">
        <v>2580</v>
      </c>
      <c r="S327" s="250"/>
      <c r="T327" s="159">
        <f t="shared" si="77"/>
        <v>0</v>
      </c>
      <c r="U327" s="250"/>
      <c r="V327" s="415">
        <v>321</v>
      </c>
      <c r="W327" t="s">
        <v>495</v>
      </c>
      <c r="X327" t="s">
        <v>977</v>
      </c>
      <c r="Y327" s="364">
        <v>-288005.93802199996</v>
      </c>
      <c r="Z327" s="364">
        <v>0</v>
      </c>
      <c r="AA327" s="369">
        <v>-69005.558855999974</v>
      </c>
      <c r="AB327" s="505">
        <v>-115107.94071</v>
      </c>
      <c r="AC327" s="350">
        <f t="shared" si="84"/>
        <v>-472119.43758799991</v>
      </c>
      <c r="AG327" s="159">
        <f t="shared" si="85"/>
        <v>0</v>
      </c>
      <c r="AI327" s="442" t="s">
        <v>495</v>
      </c>
      <c r="AJ327" t="s">
        <v>977</v>
      </c>
      <c r="AK327" s="364">
        <v>0</v>
      </c>
      <c r="AL327" s="364">
        <v>0</v>
      </c>
      <c r="AM327" s="369">
        <v>-69005.558855999974</v>
      </c>
      <c r="AN327" s="505">
        <v>-115107.94071</v>
      </c>
      <c r="AO327" s="448">
        <v>-527983.69687799993</v>
      </c>
      <c r="AP327" s="448"/>
      <c r="AQ327" s="438"/>
      <c r="AR327" s="449">
        <f t="shared" si="86"/>
        <v>-184113.49956599995</v>
      </c>
      <c r="AS327" s="438"/>
      <c r="AT327" s="438"/>
      <c r="AU327" s="364">
        <v>0</v>
      </c>
      <c r="AV327" s="369">
        <v>-69005.558855999974</v>
      </c>
      <c r="AW327" s="505">
        <v>-115107.94071</v>
      </c>
      <c r="AX327" s="452">
        <f t="shared" si="87"/>
        <v>-184113.49956599995</v>
      </c>
      <c r="AY327" s="250">
        <f t="shared" si="82"/>
        <v>0</v>
      </c>
      <c r="AZ327" s="439"/>
      <c r="BA327" s="582">
        <v>-110463.38267000002</v>
      </c>
      <c r="BB327" s="462">
        <f t="shared" ref="BB327:BB336" si="91">+BA327+AX327</f>
        <v>-294576.88223599998</v>
      </c>
      <c r="BC327" s="463">
        <f t="shared" si="83"/>
        <v>0</v>
      </c>
      <c r="BD327" s="431"/>
      <c r="BE327" s="435">
        <f t="shared" si="88"/>
        <v>0</v>
      </c>
    </row>
    <row r="328" spans="1:57" ht="15">
      <c r="A328" s="415">
        <v>322</v>
      </c>
      <c r="B328" s="415">
        <v>74</v>
      </c>
      <c r="C328" t="s">
        <v>293</v>
      </c>
      <c r="D328" t="s">
        <v>885</v>
      </c>
      <c r="E328" s="364">
        <v>-79016.058656000037</v>
      </c>
      <c r="F328" s="364">
        <v>-89177.649665999983</v>
      </c>
      <c r="G328" s="369">
        <v>-91850.734540000019</v>
      </c>
      <c r="H328" s="364">
        <v>-77032.930195000008</v>
      </c>
      <c r="I328" s="350">
        <f t="shared" si="89"/>
        <v>-337077.37305700005</v>
      </c>
      <c r="K328" s="66">
        <f t="shared" si="90"/>
        <v>0</v>
      </c>
      <c r="L328" s="66"/>
      <c r="M328" s="415">
        <v>322</v>
      </c>
      <c r="N328" s="415">
        <v>74</v>
      </c>
      <c r="O328" s="66" t="s">
        <v>293</v>
      </c>
      <c r="P328" t="s">
        <v>885</v>
      </c>
      <c r="Q328" s="364">
        <v>-77032.930195000008</v>
      </c>
      <c r="R328" t="s">
        <v>2580</v>
      </c>
      <c r="S328" s="250"/>
      <c r="T328" s="159">
        <f t="shared" ref="T328:T336" si="92">+W328-C328</f>
        <v>0</v>
      </c>
      <c r="U328" s="250"/>
      <c r="V328" s="415">
        <v>322</v>
      </c>
      <c r="W328" t="s">
        <v>293</v>
      </c>
      <c r="X328" t="s">
        <v>885</v>
      </c>
      <c r="Y328" s="364">
        <v>-72475.34554900002</v>
      </c>
      <c r="Z328" s="364">
        <v>-79016.058656000037</v>
      </c>
      <c r="AA328" s="369">
        <v>-89177.649665999983</v>
      </c>
      <c r="AB328" s="505">
        <v>-91850.734540000019</v>
      </c>
      <c r="AC328" s="350">
        <f t="shared" si="84"/>
        <v>-332519.78841100005</v>
      </c>
      <c r="AG328" s="159">
        <f t="shared" si="85"/>
        <v>0</v>
      </c>
      <c r="AI328" s="442" t="s">
        <v>293</v>
      </c>
      <c r="AJ328" t="s">
        <v>885</v>
      </c>
      <c r="AK328" s="364">
        <v>0</v>
      </c>
      <c r="AL328" s="364">
        <v>-79016.058656000037</v>
      </c>
      <c r="AM328" s="369">
        <v>-89177.649665999983</v>
      </c>
      <c r="AN328" s="505">
        <v>-91850.734540000019</v>
      </c>
      <c r="AO328" s="448">
        <v>-324577.89387100004</v>
      </c>
      <c r="AP328" s="448"/>
      <c r="AQ328" s="438"/>
      <c r="AR328" s="449">
        <f t="shared" si="86"/>
        <v>-260044.44286200003</v>
      </c>
      <c r="AS328" s="438"/>
      <c r="AT328" s="438"/>
      <c r="AU328" s="364">
        <v>-79016.058656000037</v>
      </c>
      <c r="AV328" s="369">
        <v>-89177.649665999983</v>
      </c>
      <c r="AW328" s="505">
        <v>-91850.734540000019</v>
      </c>
      <c r="AX328" s="452">
        <f t="shared" si="87"/>
        <v>-260044.44286200003</v>
      </c>
      <c r="AY328" s="250">
        <f t="shared" si="82"/>
        <v>0</v>
      </c>
      <c r="AZ328" s="439"/>
      <c r="BA328" s="582">
        <v>-77032.930195000008</v>
      </c>
      <c r="BB328" s="462">
        <f t="shared" si="91"/>
        <v>-337077.37305700005</v>
      </c>
      <c r="BC328" s="463">
        <f t="shared" si="83"/>
        <v>0</v>
      </c>
      <c r="BD328" s="431"/>
      <c r="BE328" s="435">
        <f t="shared" si="88"/>
        <v>0</v>
      </c>
    </row>
    <row r="329" spans="1:57" ht="15">
      <c r="A329" s="415">
        <v>323</v>
      </c>
      <c r="B329" s="415">
        <v>155</v>
      </c>
      <c r="C329" t="s">
        <v>426</v>
      </c>
      <c r="D329" t="s">
        <v>943</v>
      </c>
      <c r="E329" s="364">
        <v>63436.488003000064</v>
      </c>
      <c r="F329" s="364">
        <v>25637.465439999971</v>
      </c>
      <c r="G329" s="369">
        <v>-108190.23421999998</v>
      </c>
      <c r="H329" s="364">
        <v>130328.7350920001</v>
      </c>
      <c r="I329" s="350">
        <f t="shared" si="89"/>
        <v>111212.45431500016</v>
      </c>
      <c r="K329" s="66">
        <f t="shared" si="90"/>
        <v>0</v>
      </c>
      <c r="L329" s="66"/>
      <c r="M329" s="415">
        <v>323</v>
      </c>
      <c r="N329" s="415">
        <v>155</v>
      </c>
      <c r="O329" s="66" t="s">
        <v>426</v>
      </c>
      <c r="P329" t="s">
        <v>943</v>
      </c>
      <c r="Q329" s="364">
        <v>130328.7350920001</v>
      </c>
      <c r="R329" t="s">
        <v>2580</v>
      </c>
      <c r="S329" s="250"/>
      <c r="T329" s="159">
        <f t="shared" si="92"/>
        <v>0</v>
      </c>
      <c r="U329" s="250"/>
      <c r="V329" s="415">
        <v>323</v>
      </c>
      <c r="W329" t="s">
        <v>426</v>
      </c>
      <c r="X329" t="s">
        <v>943</v>
      </c>
      <c r="Y329" s="364">
        <v>28133.866553999982</v>
      </c>
      <c r="Z329" s="364">
        <v>35302.621449000086</v>
      </c>
      <c r="AA329" s="369">
        <v>25637.465439999971</v>
      </c>
      <c r="AB329" s="505">
        <v>-108190.23421999998</v>
      </c>
      <c r="AC329" s="350">
        <f t="shared" si="84"/>
        <v>-19116.280776999949</v>
      </c>
      <c r="AG329" s="159">
        <f t="shared" si="85"/>
        <v>0</v>
      </c>
      <c r="AI329" s="442" t="s">
        <v>426</v>
      </c>
      <c r="AJ329" t="s">
        <v>943</v>
      </c>
      <c r="AK329" s="364">
        <v>0</v>
      </c>
      <c r="AL329" s="585">
        <v>63436.488003000064</v>
      </c>
      <c r="AM329" s="369">
        <v>25637.465439999971</v>
      </c>
      <c r="AN329" s="505">
        <v>-108190.23421999998</v>
      </c>
      <c r="AO329" s="448">
        <v>89073.953443000035</v>
      </c>
      <c r="AP329" s="448">
        <v>63436.488003000064</v>
      </c>
      <c r="AQ329" s="438"/>
      <c r="AR329" s="449">
        <f t="shared" si="86"/>
        <v>-19116.280776999949</v>
      </c>
      <c r="AS329" s="438"/>
      <c r="AT329" s="438"/>
      <c r="AU329" s="585">
        <v>63436.488003000064</v>
      </c>
      <c r="AV329" s="369">
        <v>25637.465439999971</v>
      </c>
      <c r="AW329" s="505">
        <v>-108190.23421999998</v>
      </c>
      <c r="AX329" s="452">
        <f t="shared" si="87"/>
        <v>-19116.280776999949</v>
      </c>
      <c r="AY329" s="250">
        <f t="shared" si="82"/>
        <v>0</v>
      </c>
      <c r="AZ329" s="439"/>
      <c r="BA329" s="582">
        <v>130328.7350920001</v>
      </c>
      <c r="BB329" s="462">
        <f t="shared" si="91"/>
        <v>111212.45431500016</v>
      </c>
      <c r="BC329" s="463">
        <f t="shared" si="83"/>
        <v>0</v>
      </c>
      <c r="BD329" s="431"/>
      <c r="BE329" s="435">
        <f t="shared" si="88"/>
        <v>0</v>
      </c>
    </row>
    <row r="330" spans="1:57" ht="15">
      <c r="A330" s="415">
        <v>324</v>
      </c>
      <c r="B330" s="415">
        <v>86</v>
      </c>
      <c r="C330" t="s">
        <v>316</v>
      </c>
      <c r="D330" t="s">
        <v>896</v>
      </c>
      <c r="E330" s="364">
        <v>-37661.878171999997</v>
      </c>
      <c r="F330" s="364">
        <v>-40573.463999999964</v>
      </c>
      <c r="G330" s="369">
        <v>-37898.843960000027</v>
      </c>
      <c r="H330" s="364">
        <v>-62175.293134000036</v>
      </c>
      <c r="I330" s="350">
        <f t="shared" si="89"/>
        <v>-178309.47926600004</v>
      </c>
      <c r="K330" s="66">
        <f t="shared" si="90"/>
        <v>0</v>
      </c>
      <c r="L330" s="66"/>
      <c r="M330" s="415">
        <v>324</v>
      </c>
      <c r="N330" s="415">
        <v>86</v>
      </c>
      <c r="O330" s="66" t="s">
        <v>316</v>
      </c>
      <c r="P330" t="s">
        <v>896</v>
      </c>
      <c r="Q330" s="364">
        <v>-62175.293134000036</v>
      </c>
      <c r="R330" t="s">
        <v>2580</v>
      </c>
      <c r="S330" s="250"/>
      <c r="T330" s="159">
        <f t="shared" si="92"/>
        <v>0</v>
      </c>
      <c r="U330" s="250"/>
      <c r="V330" s="415">
        <v>324</v>
      </c>
      <c r="W330" t="s">
        <v>316</v>
      </c>
      <c r="X330" t="s">
        <v>896</v>
      </c>
      <c r="Y330" s="364">
        <v>-103574.16147499997</v>
      </c>
      <c r="Z330" s="364">
        <v>-37661.878171999997</v>
      </c>
      <c r="AA330" s="369">
        <v>-40573.463999999964</v>
      </c>
      <c r="AB330" s="505">
        <v>-37898.843960000027</v>
      </c>
      <c r="AC330" s="350">
        <f t="shared" si="84"/>
        <v>-219708.34760699997</v>
      </c>
      <c r="AG330" s="159">
        <f t="shared" si="85"/>
        <v>0</v>
      </c>
      <c r="AI330" s="442" t="s">
        <v>316</v>
      </c>
      <c r="AJ330" t="s">
        <v>896</v>
      </c>
      <c r="AK330" s="364">
        <v>0</v>
      </c>
      <c r="AL330" s="364">
        <v>-37661.878171999997</v>
      </c>
      <c r="AM330" s="369">
        <v>-40573.463999999964</v>
      </c>
      <c r="AN330" s="505">
        <v>-37898.843960000027</v>
      </c>
      <c r="AO330" s="448">
        <v>-292193.29364699993</v>
      </c>
      <c r="AP330" s="448"/>
      <c r="AQ330" s="438"/>
      <c r="AR330" s="449">
        <f t="shared" si="86"/>
        <v>-116134.18613199999</v>
      </c>
      <c r="AS330" s="438"/>
      <c r="AT330" s="438"/>
      <c r="AU330" s="364">
        <v>-37661.878171999997</v>
      </c>
      <c r="AV330" s="369">
        <v>-40573.463999999964</v>
      </c>
      <c r="AW330" s="505">
        <v>-37898.843960000027</v>
      </c>
      <c r="AX330" s="452">
        <f t="shared" si="87"/>
        <v>-116134.18613199999</v>
      </c>
      <c r="AY330" s="250">
        <f t="shared" si="82"/>
        <v>0</v>
      </c>
      <c r="AZ330" s="439"/>
      <c r="BA330" s="582">
        <v>-62175.293134000036</v>
      </c>
      <c r="BB330" s="462">
        <f t="shared" si="91"/>
        <v>-178309.47926600004</v>
      </c>
      <c r="BC330" s="463">
        <f t="shared" si="83"/>
        <v>0</v>
      </c>
      <c r="BD330" s="431"/>
      <c r="BE330" s="435">
        <f t="shared" si="88"/>
        <v>0</v>
      </c>
    </row>
    <row r="331" spans="1:57" ht="15">
      <c r="A331" s="415">
        <v>325</v>
      </c>
      <c r="B331" s="415">
        <v>140</v>
      </c>
      <c r="C331" t="s">
        <v>396</v>
      </c>
      <c r="D331" t="s">
        <v>933</v>
      </c>
      <c r="E331" s="364">
        <v>-78427.886859000006</v>
      </c>
      <c r="F331" s="364">
        <v>-29115.303358000001</v>
      </c>
      <c r="G331" s="369">
        <v>-36127.970199999996</v>
      </c>
      <c r="H331" s="364">
        <v>-64446.986928000028</v>
      </c>
      <c r="I331" s="350">
        <f t="shared" si="89"/>
        <v>-208118.14734500003</v>
      </c>
      <c r="K331" s="66">
        <f t="shared" si="90"/>
        <v>0</v>
      </c>
      <c r="L331" s="66"/>
      <c r="M331" s="415">
        <v>325</v>
      </c>
      <c r="N331" s="415">
        <v>140</v>
      </c>
      <c r="O331" s="66" t="s">
        <v>396</v>
      </c>
      <c r="P331" t="s">
        <v>933</v>
      </c>
      <c r="Q331" s="364">
        <v>-64446.986928000028</v>
      </c>
      <c r="R331" t="s">
        <v>2580</v>
      </c>
      <c r="S331" s="250"/>
      <c r="T331" s="159">
        <f t="shared" si="92"/>
        <v>0</v>
      </c>
      <c r="U331" s="250"/>
      <c r="V331" s="415">
        <v>325</v>
      </c>
      <c r="W331" t="s">
        <v>396</v>
      </c>
      <c r="X331" t="s">
        <v>933</v>
      </c>
      <c r="Y331" s="364">
        <v>-57296.189064999984</v>
      </c>
      <c r="Z331" s="364">
        <v>-78427.886859000006</v>
      </c>
      <c r="AA331" s="369">
        <v>-29115.303358000001</v>
      </c>
      <c r="AB331" s="505">
        <v>-36127.970199999996</v>
      </c>
      <c r="AC331" s="350">
        <f t="shared" si="84"/>
        <v>-200967.34948199999</v>
      </c>
      <c r="AG331" s="159">
        <f t="shared" si="85"/>
        <v>0</v>
      </c>
      <c r="AI331" s="442" t="s">
        <v>396</v>
      </c>
      <c r="AJ331" t="s">
        <v>933</v>
      </c>
      <c r="AK331" s="364">
        <v>0</v>
      </c>
      <c r="AL331" s="364">
        <v>-78427.886859000006</v>
      </c>
      <c r="AM331" s="369">
        <v>-29115.303358000001</v>
      </c>
      <c r="AN331" s="505">
        <v>-36127.970199999996</v>
      </c>
      <c r="AO331" s="448">
        <v>-209601.08928199997</v>
      </c>
      <c r="AP331" s="448"/>
      <c r="AQ331" s="438"/>
      <c r="AR331" s="449">
        <f t="shared" si="86"/>
        <v>-143671.16041700001</v>
      </c>
      <c r="AS331" s="438"/>
      <c r="AT331" s="438"/>
      <c r="AU331" s="364">
        <v>-78427.886859000006</v>
      </c>
      <c r="AV331" s="369">
        <v>-29115.303358000001</v>
      </c>
      <c r="AW331" s="505">
        <v>-36127.970199999996</v>
      </c>
      <c r="AX331" s="452">
        <f t="shared" si="87"/>
        <v>-143671.16041700001</v>
      </c>
      <c r="AY331" s="250">
        <f t="shared" si="82"/>
        <v>0</v>
      </c>
      <c r="AZ331" s="439"/>
      <c r="BA331" s="582">
        <v>-64446.986928000028</v>
      </c>
      <c r="BB331" s="462">
        <f t="shared" si="91"/>
        <v>-208118.14734500003</v>
      </c>
      <c r="BC331" s="463">
        <f t="shared" si="83"/>
        <v>0</v>
      </c>
      <c r="BD331" s="431"/>
      <c r="BE331" s="435">
        <f t="shared" si="88"/>
        <v>0</v>
      </c>
    </row>
    <row r="332" spans="1:57" ht="15">
      <c r="A332" s="415">
        <v>326</v>
      </c>
      <c r="B332" s="415">
        <v>47</v>
      </c>
      <c r="C332" t="s">
        <v>241</v>
      </c>
      <c r="D332" t="s">
        <v>861</v>
      </c>
      <c r="E332" s="364">
        <v>0</v>
      </c>
      <c r="F332" s="364">
        <v>-297037.78600243182</v>
      </c>
      <c r="G332" s="369">
        <v>-135973.9888960002</v>
      </c>
      <c r="H332" s="364">
        <v>-301915.39081302308</v>
      </c>
      <c r="I332" s="350">
        <f t="shared" si="89"/>
        <v>-734927.16571145505</v>
      </c>
      <c r="K332" s="66">
        <f t="shared" si="90"/>
        <v>0</v>
      </c>
      <c r="L332" s="66"/>
      <c r="M332" s="415">
        <v>326</v>
      </c>
      <c r="N332" s="415">
        <v>47</v>
      </c>
      <c r="O332" s="66" t="s">
        <v>241</v>
      </c>
      <c r="P332" t="s">
        <v>861</v>
      </c>
      <c r="Q332" s="364">
        <v>-301915.39081302308</v>
      </c>
      <c r="R332" t="s">
        <v>2580</v>
      </c>
      <c r="S332" s="250"/>
      <c r="T332" s="159">
        <f t="shared" si="92"/>
        <v>0</v>
      </c>
      <c r="U332" s="250"/>
      <c r="V332" s="415">
        <v>326</v>
      </c>
      <c r="W332" t="s">
        <v>241</v>
      </c>
      <c r="X332" t="s">
        <v>861</v>
      </c>
      <c r="Y332" s="364">
        <v>-229255.84471503797</v>
      </c>
      <c r="Z332" s="364">
        <v>1415.1297085063998</v>
      </c>
      <c r="AA332" s="369">
        <v>-297037.78600243182</v>
      </c>
      <c r="AB332" s="505">
        <v>-135973.9888960002</v>
      </c>
      <c r="AC332" s="350">
        <f t="shared" si="84"/>
        <v>-660852.48990496364</v>
      </c>
      <c r="AG332" s="159">
        <f t="shared" si="85"/>
        <v>0</v>
      </c>
      <c r="AI332" s="442" t="s">
        <v>241</v>
      </c>
      <c r="AJ332" t="s">
        <v>861</v>
      </c>
      <c r="AK332" s="364">
        <v>0</v>
      </c>
      <c r="AL332" s="364">
        <v>0</v>
      </c>
      <c r="AM332" s="369">
        <v>-297037.78600243182</v>
      </c>
      <c r="AN332" s="505">
        <v>-135973.9888960002</v>
      </c>
      <c r="AO332" s="448">
        <v>-902651.56100896327</v>
      </c>
      <c r="AP332" s="448"/>
      <c r="AQ332" s="438"/>
      <c r="AR332" s="449">
        <f t="shared" si="86"/>
        <v>-433011.77489843202</v>
      </c>
      <c r="AS332" s="438"/>
      <c r="AT332" s="438"/>
      <c r="AU332" s="364">
        <v>0</v>
      </c>
      <c r="AV332" s="369">
        <v>-297037.78600243182</v>
      </c>
      <c r="AW332" s="505">
        <v>-135973.9888960002</v>
      </c>
      <c r="AX332" s="452">
        <f t="shared" si="87"/>
        <v>-433011.77489843202</v>
      </c>
      <c r="AY332" s="250">
        <f t="shared" si="82"/>
        <v>0</v>
      </c>
      <c r="AZ332" s="439"/>
      <c r="BA332" s="582">
        <v>-301915.39081302308</v>
      </c>
      <c r="BB332" s="462">
        <f t="shared" si="91"/>
        <v>-734927.16571145505</v>
      </c>
      <c r="BC332" s="463">
        <f t="shared" si="83"/>
        <v>0</v>
      </c>
      <c r="BD332" s="431"/>
      <c r="BE332" s="435">
        <f t="shared" si="88"/>
        <v>0</v>
      </c>
    </row>
    <row r="333" spans="1:57" ht="15">
      <c r="A333" s="415">
        <v>327</v>
      </c>
      <c r="B333" s="415">
        <v>330</v>
      </c>
      <c r="C333" s="341" t="s">
        <v>1510</v>
      </c>
      <c r="D333" s="342" t="s">
        <v>1547</v>
      </c>
      <c r="E333" s="371">
        <v>0</v>
      </c>
      <c r="F333" s="365">
        <v>0</v>
      </c>
      <c r="G333" s="369">
        <v>0</v>
      </c>
      <c r="H333" s="364"/>
      <c r="I333" s="350">
        <f t="shared" si="89"/>
        <v>0</v>
      </c>
      <c r="K333" s="66">
        <f t="shared" si="90"/>
        <v>0</v>
      </c>
      <c r="L333" s="66"/>
      <c r="M333" s="415">
        <v>327</v>
      </c>
      <c r="N333" s="415">
        <v>330</v>
      </c>
      <c r="O333" s="341" t="s">
        <v>1510</v>
      </c>
      <c r="P333" s="342" t="s">
        <v>1547</v>
      </c>
      <c r="Q333" s="364"/>
      <c r="R333" t="s">
        <v>2580</v>
      </c>
      <c r="S333" s="250"/>
      <c r="T333" s="159">
        <f t="shared" si="92"/>
        <v>0</v>
      </c>
      <c r="U333" s="250"/>
      <c r="V333" s="415">
        <v>327</v>
      </c>
      <c r="W333" s="341" t="s">
        <v>1510</v>
      </c>
      <c r="X333" s="342" t="s">
        <v>1547</v>
      </c>
      <c r="Y333" s="371">
        <v>0</v>
      </c>
      <c r="Z333" s="365"/>
      <c r="AA333" s="369"/>
      <c r="AB333" s="505">
        <v>0</v>
      </c>
      <c r="AC333" s="350">
        <f t="shared" si="84"/>
        <v>0</v>
      </c>
      <c r="AG333" s="159">
        <f t="shared" si="85"/>
        <v>0</v>
      </c>
      <c r="AI333" s="442" t="s">
        <v>1510</v>
      </c>
      <c r="AJ333" s="342" t="s">
        <v>1547</v>
      </c>
      <c r="AK333" s="371">
        <v>0</v>
      </c>
      <c r="AL333" s="371">
        <v>0</v>
      </c>
      <c r="AM333" s="371">
        <v>0</v>
      </c>
      <c r="AN333" s="505">
        <v>0</v>
      </c>
      <c r="AO333" s="448">
        <v>0</v>
      </c>
      <c r="AP333" s="448"/>
      <c r="AQ333" s="438"/>
      <c r="AR333" s="449">
        <f t="shared" si="86"/>
        <v>0</v>
      </c>
      <c r="AS333" s="438"/>
      <c r="AT333" s="438"/>
      <c r="AU333" s="371">
        <v>0</v>
      </c>
      <c r="AV333" s="371">
        <v>0</v>
      </c>
      <c r="AW333" s="505">
        <v>0</v>
      </c>
      <c r="AX333" s="452">
        <f t="shared" si="87"/>
        <v>0</v>
      </c>
      <c r="AY333" s="250">
        <f t="shared" si="82"/>
        <v>0</v>
      </c>
      <c r="AZ333" s="439"/>
      <c r="BA333" s="582"/>
      <c r="BB333" s="462">
        <f t="shared" si="91"/>
        <v>0</v>
      </c>
      <c r="BC333" s="463">
        <f t="shared" si="83"/>
        <v>0</v>
      </c>
      <c r="BD333" s="431"/>
      <c r="BE333" s="435">
        <f t="shared" si="88"/>
        <v>0</v>
      </c>
    </row>
    <row r="334" spans="1:57" ht="15">
      <c r="A334" s="415">
        <v>328</v>
      </c>
      <c r="B334" s="415">
        <v>316</v>
      </c>
      <c r="C334" t="s">
        <v>715</v>
      </c>
      <c r="D334" t="s">
        <v>1070</v>
      </c>
      <c r="E334" s="364">
        <v>0</v>
      </c>
      <c r="F334" s="364">
        <v>-777485.93653000228</v>
      </c>
      <c r="G334" s="369">
        <v>0</v>
      </c>
      <c r="H334" s="364">
        <v>138171.48424000107</v>
      </c>
      <c r="I334" s="350">
        <f t="shared" si="89"/>
        <v>-639314.45229000121</v>
      </c>
      <c r="K334" s="66">
        <f t="shared" si="90"/>
        <v>0</v>
      </c>
      <c r="L334" s="66"/>
      <c r="M334" s="415">
        <v>328</v>
      </c>
      <c r="N334" s="415">
        <v>316</v>
      </c>
      <c r="O334" s="66" t="s">
        <v>715</v>
      </c>
      <c r="P334" t="s">
        <v>1070</v>
      </c>
      <c r="Q334" s="364">
        <v>138171.48424000107</v>
      </c>
      <c r="R334" t="s">
        <v>2580</v>
      </c>
      <c r="S334" s="250"/>
      <c r="T334" s="159">
        <f t="shared" si="92"/>
        <v>0</v>
      </c>
      <c r="U334" s="250"/>
      <c r="V334" s="415">
        <v>328</v>
      </c>
      <c r="W334" t="s">
        <v>715</v>
      </c>
      <c r="X334" t="s">
        <v>1070</v>
      </c>
      <c r="Y334" s="364">
        <v>-1514614.0038770013</v>
      </c>
      <c r="Z334" s="364">
        <v>0</v>
      </c>
      <c r="AA334" s="369">
        <v>-777485.93653000228</v>
      </c>
      <c r="AB334" s="505">
        <v>1091505.6013939995</v>
      </c>
      <c r="AC334" s="350">
        <f t="shared" si="84"/>
        <v>-1200594.3390130042</v>
      </c>
      <c r="AG334" s="159">
        <f t="shared" si="85"/>
        <v>0</v>
      </c>
      <c r="AI334" s="442" t="s">
        <v>715</v>
      </c>
      <c r="AJ334" t="s">
        <v>1070</v>
      </c>
      <c r="AK334" s="364">
        <v>0</v>
      </c>
      <c r="AL334" s="364">
        <v>0</v>
      </c>
      <c r="AM334" s="369">
        <v>-777485.93653000228</v>
      </c>
      <c r="AN334" s="505">
        <v>0</v>
      </c>
      <c r="AO334" s="448">
        <v>-2292099.9404070037</v>
      </c>
      <c r="AP334" s="448"/>
      <c r="AQ334" s="438"/>
      <c r="AR334" s="449">
        <f t="shared" si="86"/>
        <v>-777485.93653000228</v>
      </c>
      <c r="AS334" s="438"/>
      <c r="AT334" s="438"/>
      <c r="AU334" s="364">
        <v>0</v>
      </c>
      <c r="AV334" s="369">
        <v>-777485.93653000228</v>
      </c>
      <c r="AW334" s="505">
        <v>0</v>
      </c>
      <c r="AX334" s="452">
        <f t="shared" si="87"/>
        <v>-777485.93653000228</v>
      </c>
      <c r="AY334" s="250">
        <f t="shared" si="82"/>
        <v>0</v>
      </c>
      <c r="AZ334" s="439"/>
      <c r="BA334" s="582">
        <v>138171.48424000107</v>
      </c>
      <c r="BB334" s="462">
        <f t="shared" si="91"/>
        <v>-639314.45229000121</v>
      </c>
      <c r="BC334" s="463">
        <f t="shared" si="83"/>
        <v>0</v>
      </c>
      <c r="BD334" s="431"/>
      <c r="BE334" s="435">
        <f t="shared" si="88"/>
        <v>0</v>
      </c>
    </row>
    <row r="335" spans="1:57" ht="15">
      <c r="A335" s="415">
        <v>329</v>
      </c>
      <c r="B335" s="415">
        <v>274</v>
      </c>
      <c r="C335" t="s">
        <v>640</v>
      </c>
      <c r="D335" t="s">
        <v>1037</v>
      </c>
      <c r="E335" s="364">
        <v>0</v>
      </c>
      <c r="F335" s="364">
        <v>-321792.00661310088</v>
      </c>
      <c r="G335" s="369">
        <v>-573713.72177000018</v>
      </c>
      <c r="H335" s="364">
        <v>-421361.25206659362</v>
      </c>
      <c r="I335" s="350">
        <f t="shared" si="89"/>
        <v>-1316866.9804496947</v>
      </c>
      <c r="K335" s="66">
        <f t="shared" si="90"/>
        <v>0</v>
      </c>
      <c r="L335" s="66"/>
      <c r="M335" s="415">
        <v>329</v>
      </c>
      <c r="N335" s="415">
        <v>274</v>
      </c>
      <c r="O335" s="66" t="s">
        <v>640</v>
      </c>
      <c r="P335" t="s">
        <v>1037</v>
      </c>
      <c r="Q335" s="364">
        <v>-421361.25206659362</v>
      </c>
      <c r="R335" t="s">
        <v>2580</v>
      </c>
      <c r="S335" s="250"/>
      <c r="T335" s="159">
        <f t="shared" si="92"/>
        <v>0</v>
      </c>
      <c r="U335" s="250"/>
      <c r="V335" s="415">
        <v>329</v>
      </c>
      <c r="W335" t="s">
        <v>640</v>
      </c>
      <c r="X335" t="s">
        <v>1037</v>
      </c>
      <c r="Y335" s="364">
        <v>-238986.80312251349</v>
      </c>
      <c r="Z335" s="364">
        <v>0</v>
      </c>
      <c r="AA335" s="369">
        <v>-321792.00661310088</v>
      </c>
      <c r="AB335" s="505">
        <v>-573713.72177000018</v>
      </c>
      <c r="AC335" s="350">
        <f t="shared" si="84"/>
        <v>-1134492.5315056145</v>
      </c>
      <c r="AG335" s="159">
        <f t="shared" si="85"/>
        <v>0</v>
      </c>
      <c r="AI335" s="442" t="s">
        <v>640</v>
      </c>
      <c r="AJ335" t="s">
        <v>1037</v>
      </c>
      <c r="AK335" s="364">
        <v>0</v>
      </c>
      <c r="AL335" s="364">
        <v>0</v>
      </c>
      <c r="AM335" s="369">
        <v>-321792.00661310088</v>
      </c>
      <c r="AN335" s="505">
        <v>-573713.72177000018</v>
      </c>
      <c r="AO335" s="448">
        <v>-808091.1197356144</v>
      </c>
      <c r="AP335" s="448"/>
      <c r="AQ335" s="438"/>
      <c r="AR335" s="449">
        <f t="shared" si="86"/>
        <v>-895505.72838310106</v>
      </c>
      <c r="AS335" s="438"/>
      <c r="AT335" s="438"/>
      <c r="AU335" s="364">
        <v>0</v>
      </c>
      <c r="AV335" s="369">
        <v>-321792.00661310088</v>
      </c>
      <c r="AW335" s="505">
        <v>-573713.72177000018</v>
      </c>
      <c r="AX335" s="452">
        <f t="shared" si="87"/>
        <v>-895505.72838310106</v>
      </c>
      <c r="AY335" s="250">
        <f t="shared" si="82"/>
        <v>0</v>
      </c>
      <c r="AZ335" s="439"/>
      <c r="BA335" s="582">
        <v>-421361.25206659362</v>
      </c>
      <c r="BB335" s="462">
        <f t="shared" si="91"/>
        <v>-1316866.9804496947</v>
      </c>
      <c r="BC335" s="463">
        <f t="shared" si="83"/>
        <v>0</v>
      </c>
      <c r="BD335" s="431"/>
      <c r="BE335" s="435">
        <f t="shared" si="88"/>
        <v>0</v>
      </c>
    </row>
    <row r="336" spans="1:57" ht="15">
      <c r="A336" s="415">
        <v>330</v>
      </c>
      <c r="B336" s="415">
        <v>325</v>
      </c>
      <c r="C336" t="s">
        <v>732</v>
      </c>
      <c r="D336" t="s">
        <v>1078</v>
      </c>
      <c r="E336" s="364">
        <v>-125383.23474099988</v>
      </c>
      <c r="F336" s="364">
        <v>-137807.97430900007</v>
      </c>
      <c r="G336" s="369">
        <v>-89082.706864000065</v>
      </c>
      <c r="H336" s="364">
        <v>-94570.152280000038</v>
      </c>
      <c r="I336" s="350">
        <f t="shared" si="89"/>
        <v>-446844.06819400005</v>
      </c>
      <c r="K336" s="66">
        <f t="shared" si="90"/>
        <v>0</v>
      </c>
      <c r="L336" s="66"/>
      <c r="M336" s="415">
        <v>330</v>
      </c>
      <c r="N336" s="415">
        <v>325</v>
      </c>
      <c r="O336" s="66" t="s">
        <v>732</v>
      </c>
      <c r="P336" t="s">
        <v>1078</v>
      </c>
      <c r="Q336" s="364">
        <v>-94570.152280000038</v>
      </c>
      <c r="R336" t="s">
        <v>2580</v>
      </c>
      <c r="S336" s="250"/>
      <c r="T336" s="159">
        <f t="shared" si="92"/>
        <v>0</v>
      </c>
      <c r="U336" s="250"/>
      <c r="V336" s="415">
        <v>330</v>
      </c>
      <c r="W336" t="s">
        <v>732</v>
      </c>
      <c r="X336" t="s">
        <v>1078</v>
      </c>
      <c r="Y336" s="364">
        <v>-124435.76404500002</v>
      </c>
      <c r="Z336" s="364">
        <v>-125383.23474099988</v>
      </c>
      <c r="AA336" s="369">
        <v>-137807.97430900007</v>
      </c>
      <c r="AB336" s="505">
        <v>-89082.706864000065</v>
      </c>
      <c r="AC336" s="350">
        <f t="shared" si="84"/>
        <v>-476709.67995900003</v>
      </c>
      <c r="AG336" s="159">
        <f t="shared" si="85"/>
        <v>0</v>
      </c>
      <c r="AI336" s="442" t="s">
        <v>732</v>
      </c>
      <c r="AJ336" t="s">
        <v>1078</v>
      </c>
      <c r="AK336" s="364">
        <v>0</v>
      </c>
      <c r="AL336" s="364">
        <v>-125383.23474099988</v>
      </c>
      <c r="AM336" s="369">
        <v>-137807.97430900007</v>
      </c>
      <c r="AN336" s="505">
        <v>-89082.706864000065</v>
      </c>
      <c r="AO336" s="448">
        <v>-525034.29309499997</v>
      </c>
      <c r="AP336" s="448"/>
      <c r="AQ336" s="438"/>
      <c r="AR336" s="449">
        <f t="shared" si="86"/>
        <v>-352273.91591400001</v>
      </c>
      <c r="AS336" s="438"/>
      <c r="AT336" s="438"/>
      <c r="AU336" s="364">
        <v>-125383.23474099988</v>
      </c>
      <c r="AV336" s="369">
        <v>-137807.97430900007</v>
      </c>
      <c r="AW336" s="505">
        <v>-89082.706864000065</v>
      </c>
      <c r="AX336" s="452">
        <f t="shared" si="87"/>
        <v>-352273.91591400001</v>
      </c>
      <c r="AY336" s="250">
        <f t="shared" si="82"/>
        <v>0</v>
      </c>
      <c r="AZ336" s="439"/>
      <c r="BA336" s="582">
        <v>-94570.152280000038</v>
      </c>
      <c r="BB336" s="462">
        <f t="shared" si="91"/>
        <v>-446844.06819400005</v>
      </c>
      <c r="BC336" s="463">
        <f t="shared" si="83"/>
        <v>0</v>
      </c>
      <c r="BD336" s="431"/>
      <c r="BE336" s="435">
        <f t="shared" si="88"/>
        <v>0</v>
      </c>
    </row>
    <row r="337" spans="3:63" ht="15" thickBot="1">
      <c r="C337"/>
      <c r="D337"/>
      <c r="E337"/>
      <c r="F337"/>
      <c r="O337" s="250"/>
      <c r="P337" s="250"/>
      <c r="Q337" s="424"/>
      <c r="R337" s="250"/>
      <c r="S337" s="250"/>
      <c r="T337" s="250"/>
      <c r="U337" s="250"/>
      <c r="W337"/>
      <c r="X337"/>
      <c r="Y337"/>
      <c r="Z337"/>
      <c r="AI337" s="453"/>
      <c r="AJ337" s="454"/>
      <c r="AK337" s="454"/>
      <c r="AL337" s="454"/>
      <c r="AM337" s="454"/>
      <c r="AN337" s="454"/>
      <c r="AO337" s="454"/>
      <c r="AP337" s="454"/>
      <c r="AQ337" s="454"/>
      <c r="AR337" s="455"/>
      <c r="AS337" s="438"/>
      <c r="AT337" s="438"/>
      <c r="AU337" s="453"/>
      <c r="AV337" s="454"/>
      <c r="AW337" s="465"/>
      <c r="AX337" s="465"/>
      <c r="AY337" s="465"/>
      <c r="AZ337" s="465"/>
      <c r="BA337" s="465"/>
      <c r="BB337" s="465"/>
      <c r="BC337" s="466"/>
      <c r="BD337" s="431"/>
    </row>
    <row r="338" spans="3:63">
      <c r="C338"/>
      <c r="D338"/>
      <c r="E338"/>
      <c r="F338"/>
      <c r="G338" s="228"/>
      <c r="H338" s="228"/>
      <c r="I338" s="78"/>
      <c r="BF338"/>
      <c r="BG338"/>
      <c r="BH338" s="250"/>
      <c r="BI338" s="250"/>
      <c r="BJ338" s="250"/>
      <c r="BK338" s="250"/>
    </row>
    <row r="339" spans="3:63">
      <c r="C339"/>
      <c r="D339"/>
      <c r="E339"/>
      <c r="F339"/>
      <c r="G339" s="228"/>
      <c r="H339" s="228"/>
      <c r="I339" s="78"/>
      <c r="BF339"/>
      <c r="BG339"/>
      <c r="BH339" s="250"/>
      <c r="BI339" s="250"/>
      <c r="BJ339" s="250"/>
      <c r="BK339" s="250"/>
    </row>
    <row r="340" spans="3:63">
      <c r="C340"/>
      <c r="D340"/>
      <c r="E340"/>
      <c r="F340"/>
      <c r="BF340"/>
      <c r="BG340"/>
      <c r="BH340" s="250"/>
      <c r="BI340" s="250"/>
      <c r="BJ340" s="250"/>
      <c r="BK340" s="250"/>
    </row>
    <row r="341" spans="3:63">
      <c r="C341"/>
      <c r="D341"/>
      <c r="E341"/>
      <c r="F341"/>
      <c r="BF341"/>
      <c r="BG341"/>
      <c r="BH341" s="250"/>
      <c r="BI341" s="250"/>
      <c r="BJ341" s="250"/>
      <c r="BK341" s="250"/>
    </row>
    <row r="342" spans="3:63">
      <c r="C342"/>
      <c r="D342"/>
      <c r="E342"/>
      <c r="F342"/>
    </row>
    <row r="343" spans="3:63">
      <c r="C343"/>
      <c r="D343"/>
      <c r="E343"/>
      <c r="F343"/>
    </row>
    <row r="344" spans="3:63">
      <c r="C344"/>
      <c r="D344"/>
      <c r="E344"/>
      <c r="F344"/>
      <c r="O344" s="250"/>
      <c r="P344" s="250"/>
      <c r="Q344" s="250"/>
      <c r="R344" s="250"/>
    </row>
    <row r="345" spans="3:63">
      <c r="C345"/>
      <c r="D345"/>
      <c r="E345"/>
      <c r="F345"/>
      <c r="O345" s="250"/>
      <c r="P345" s="250"/>
      <c r="Q345" s="250"/>
      <c r="R345" s="250"/>
    </row>
    <row r="346" spans="3:63">
      <c r="C346"/>
      <c r="D346"/>
      <c r="E346"/>
      <c r="F346"/>
      <c r="O346" s="250"/>
      <c r="P346" s="250"/>
      <c r="Q346" s="250"/>
      <c r="R346" s="250"/>
    </row>
    <row r="347" spans="3:63">
      <c r="C347"/>
      <c r="D347"/>
      <c r="E347"/>
      <c r="F347"/>
      <c r="O347" s="250"/>
      <c r="P347" s="250"/>
      <c r="Q347" s="250"/>
      <c r="R347" s="250"/>
    </row>
    <row r="348" spans="3:63">
      <c r="C348"/>
      <c r="D348"/>
      <c r="E348"/>
      <c r="F348"/>
      <c r="O348" s="250"/>
      <c r="P348" s="250"/>
      <c r="Q348" s="250"/>
      <c r="R348" s="250"/>
    </row>
    <row r="349" spans="3:63">
      <c r="C349"/>
      <c r="D349"/>
      <c r="E349"/>
      <c r="F349"/>
      <c r="O349" s="250"/>
      <c r="P349" s="250"/>
      <c r="Q349" s="250"/>
      <c r="R349" s="250"/>
    </row>
    <row r="350" spans="3:63">
      <c r="C350"/>
      <c r="D350"/>
      <c r="E350"/>
      <c r="F350"/>
      <c r="O350" s="250"/>
      <c r="P350" s="250"/>
      <c r="Q350" s="250"/>
      <c r="R350" s="250"/>
    </row>
    <row r="351" spans="3:63">
      <c r="O351" s="250"/>
      <c r="P351" s="250"/>
      <c r="Q351" s="250"/>
      <c r="R351" s="250"/>
    </row>
    <row r="352" spans="3:63">
      <c r="O352" s="250"/>
      <c r="P352" s="250"/>
      <c r="Q352" s="250"/>
      <c r="R352" s="250"/>
    </row>
    <row r="353" spans="15:18">
      <c r="O353" s="250"/>
      <c r="P353" s="250"/>
      <c r="Q353" s="250"/>
      <c r="R353" s="250"/>
    </row>
    <row r="354" spans="15:18">
      <c r="O354" s="250"/>
      <c r="P354" s="250"/>
      <c r="Q354" s="250"/>
      <c r="R354" s="250"/>
    </row>
    <row r="355" spans="15:18">
      <c r="O355" s="250"/>
      <c r="P355" s="250"/>
      <c r="Q355" s="250"/>
      <c r="R355" s="250"/>
    </row>
    <row r="356" spans="15:18">
      <c r="O356" s="250"/>
      <c r="P356" s="250"/>
      <c r="Q356" s="250"/>
      <c r="R356" s="250"/>
    </row>
    <row r="357" spans="15:18">
      <c r="O357" s="250"/>
      <c r="P357" s="250"/>
      <c r="Q357" s="250"/>
      <c r="R357" s="250"/>
    </row>
    <row r="358" spans="15:18">
      <c r="O358" s="250"/>
      <c r="P358" s="250"/>
      <c r="Q358" s="250"/>
      <c r="R358" s="250"/>
    </row>
    <row r="359" spans="15:18">
      <c r="O359" s="250"/>
      <c r="P359" s="250"/>
      <c r="Q359" s="250"/>
      <c r="R359" s="250"/>
    </row>
    <row r="360" spans="15:18">
      <c r="O360" s="250"/>
      <c r="P360" s="250"/>
      <c r="Q360" s="250"/>
      <c r="R360" s="250"/>
    </row>
    <row r="361" spans="15:18">
      <c r="O361" s="250"/>
      <c r="P361" s="250"/>
      <c r="Q361" s="250"/>
      <c r="R361" s="250"/>
    </row>
    <row r="362" spans="15:18">
      <c r="O362" s="250"/>
      <c r="P362" s="250"/>
      <c r="Q362" s="250"/>
      <c r="R362" s="250"/>
    </row>
    <row r="363" spans="15:18">
      <c r="O363" s="250"/>
      <c r="P363" s="250"/>
      <c r="Q363" s="250"/>
      <c r="R363" s="250"/>
    </row>
    <row r="364" spans="15:18">
      <c r="O364" s="250"/>
      <c r="P364" s="250"/>
      <c r="Q364" s="250"/>
      <c r="R364" s="250"/>
    </row>
    <row r="365" spans="15:18">
      <c r="O365" s="250"/>
      <c r="P365" s="250"/>
      <c r="Q365" s="250"/>
      <c r="R365" s="250"/>
    </row>
    <row r="366" spans="15:18">
      <c r="O366" s="250"/>
      <c r="P366" s="250"/>
      <c r="Q366" s="250"/>
      <c r="R366" s="250"/>
    </row>
  </sheetData>
  <sortState xmlns:xlrd2="http://schemas.microsoft.com/office/spreadsheetml/2017/richdata2" ref="V7:BE336">
    <sortCondition ref="X7:X336"/>
  </sortState>
  <mergeCells count="1">
    <mergeCell ref="AU4:AX4"/>
  </mergeCells>
  <conditionalFormatting sqref="D318 F318">
    <cfRule type="duplicateValues" dxfId="37" priority="65"/>
  </conditionalFormatting>
  <conditionalFormatting sqref="D27:F27">
    <cfRule type="duplicateValues" dxfId="36" priority="64"/>
  </conditionalFormatting>
  <conditionalFormatting sqref="D219:F219">
    <cfRule type="duplicateValues" dxfId="35" priority="66"/>
  </conditionalFormatting>
  <conditionalFormatting sqref="I7:I336 AC7:AC336 I338:I339">
    <cfRule type="cellIs" dxfId="34" priority="80" operator="greaterThan">
      <formula>0</formula>
    </cfRule>
  </conditionalFormatting>
  <conditionalFormatting sqref="P27">
    <cfRule type="duplicateValues" dxfId="33" priority="15"/>
  </conditionalFormatting>
  <conditionalFormatting sqref="P219">
    <cfRule type="duplicateValues" dxfId="32" priority="16"/>
  </conditionalFormatting>
  <conditionalFormatting sqref="P318">
    <cfRule type="duplicateValues" dxfId="31" priority="14"/>
  </conditionalFormatting>
  <conditionalFormatting sqref="X27">
    <cfRule type="duplicateValues" dxfId="30" priority="11"/>
  </conditionalFormatting>
  <conditionalFormatting sqref="X219">
    <cfRule type="duplicateValues" dxfId="29" priority="13"/>
  </conditionalFormatting>
  <conditionalFormatting sqref="X318">
    <cfRule type="duplicateValues" dxfId="28" priority="12"/>
  </conditionalFormatting>
  <conditionalFormatting sqref="Y27:Z27">
    <cfRule type="duplicateValues" dxfId="27" priority="5"/>
  </conditionalFormatting>
  <conditionalFormatting sqref="Y219:Z219">
    <cfRule type="duplicateValues" dxfId="26" priority="7"/>
  </conditionalFormatting>
  <conditionalFormatting sqref="Z318">
    <cfRule type="duplicateValues" dxfId="25" priority="6"/>
  </conditionalFormatting>
  <conditionalFormatting sqref="AJ27">
    <cfRule type="duplicateValues" dxfId="24" priority="8"/>
  </conditionalFormatting>
  <conditionalFormatting sqref="AJ219">
    <cfRule type="duplicateValues" dxfId="23" priority="10"/>
  </conditionalFormatting>
  <conditionalFormatting sqref="AJ318">
    <cfRule type="duplicateValues" dxfId="22" priority="9"/>
  </conditionalFormatting>
  <conditionalFormatting sqref="AL27">
    <cfRule type="duplicateValues" dxfId="21" priority="2"/>
  </conditionalFormatting>
  <conditionalFormatting sqref="AL318">
    <cfRule type="duplicateValues" dxfId="20" priority="3"/>
  </conditionalFormatting>
  <conditionalFormatting sqref="AU318">
    <cfRule type="duplicateValues" dxfId="19" priority="1"/>
  </conditionalFormatting>
  <pageMargins left="0.7" right="0.7" top="0.75" bottom="0.75" header="0.3" footer="0.3"/>
  <pageSetup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802F7-9388-4FA2-90FB-F11530A8F0AB}">
  <dimension ref="C1:AA356"/>
  <sheetViews>
    <sheetView workbookViewId="0">
      <selection activeCell="A13" sqref="A13"/>
    </sheetView>
  </sheetViews>
  <sheetFormatPr defaultRowHeight="14.4"/>
  <cols>
    <col min="6" max="6" width="27.88671875" bestFit="1" customWidth="1"/>
    <col min="7" max="7" width="14.109375" bestFit="1" customWidth="1"/>
    <col min="11" max="11" width="5.88671875" bestFit="1" customWidth="1"/>
    <col min="12" max="12" width="6.109375" bestFit="1" customWidth="1"/>
    <col min="14" max="14" width="6.88671875" bestFit="1" customWidth="1"/>
    <col min="15" max="15" width="39.33203125" bestFit="1" customWidth="1"/>
    <col min="16" max="16" width="13.21875" bestFit="1" customWidth="1"/>
    <col min="17" max="17" width="12.109375" bestFit="1" customWidth="1"/>
    <col min="18" max="18" width="13.21875" bestFit="1" customWidth="1"/>
    <col min="19" max="19" width="12.33203125" bestFit="1" customWidth="1"/>
    <col min="20" max="20" width="13.21875" bestFit="1" customWidth="1"/>
    <col min="21" max="21" width="12.109375" bestFit="1" customWidth="1"/>
    <col min="22" max="22" width="11.88671875" hidden="1" customWidth="1"/>
    <col min="23" max="23" width="12.109375" bestFit="1" customWidth="1"/>
    <col min="24" max="24" width="13.88671875" bestFit="1" customWidth="1"/>
    <col min="25" max="25" width="13.21875" bestFit="1" customWidth="1"/>
    <col min="26" max="27" width="13.5546875" customWidth="1"/>
  </cols>
  <sheetData>
    <row r="1" spans="3:27" ht="15.6">
      <c r="C1" s="429"/>
      <c r="D1" s="429"/>
      <c r="E1" s="430"/>
      <c r="F1" s="430"/>
      <c r="G1" s="430"/>
      <c r="H1" s="430"/>
      <c r="K1" s="482"/>
      <c r="L1" s="482"/>
      <c r="M1" s="482"/>
      <c r="N1" s="483" t="s">
        <v>2501</v>
      </c>
      <c r="O1" s="483"/>
      <c r="P1" s="483"/>
      <c r="Q1" s="483"/>
      <c r="R1" s="483"/>
      <c r="S1" s="483"/>
      <c r="T1" s="483"/>
      <c r="U1" s="483"/>
      <c r="V1" s="483"/>
      <c r="W1" s="483"/>
      <c r="X1" s="483"/>
      <c r="Y1" s="484"/>
    </row>
    <row r="2" spans="3:27" ht="15.6">
      <c r="E2" s="45"/>
      <c r="F2" s="45"/>
      <c r="G2" s="45"/>
      <c r="H2" s="45"/>
      <c r="K2" s="482"/>
      <c r="L2" s="482"/>
      <c r="M2" s="482"/>
      <c r="N2" s="483" t="s">
        <v>2502</v>
      </c>
      <c r="O2" s="483"/>
      <c r="P2" s="483"/>
      <c r="Q2" s="483"/>
      <c r="R2" s="483"/>
      <c r="S2" s="483"/>
      <c r="T2" s="483"/>
      <c r="U2" s="483"/>
      <c r="V2" s="483"/>
      <c r="W2" s="483"/>
      <c r="X2" s="483"/>
      <c r="Y2" s="484"/>
      <c r="Z2" s="375"/>
    </row>
    <row r="3" spans="3:27" ht="15.6">
      <c r="E3" s="45"/>
      <c r="F3" s="45" t="s">
        <v>2579</v>
      </c>
      <c r="G3" s="45"/>
      <c r="H3" s="45"/>
      <c r="K3" s="482"/>
      <c r="L3" s="482"/>
      <c r="M3" s="482"/>
      <c r="N3" s="483" t="s">
        <v>2503</v>
      </c>
      <c r="O3" s="483"/>
      <c r="P3" s="483"/>
      <c r="Q3" s="483"/>
      <c r="R3" s="483"/>
      <c r="S3" s="483"/>
      <c r="T3" s="483"/>
      <c r="U3" s="483"/>
      <c r="V3" s="483"/>
      <c r="W3" s="483"/>
      <c r="X3" s="483"/>
      <c r="Y3" s="484"/>
    </row>
    <row r="4" spans="3:27" ht="15.6">
      <c r="E4" s="45"/>
      <c r="F4" s="45"/>
      <c r="G4" s="529">
        <f>SUM(G7:G336)</f>
        <v>-82326476.03233695</v>
      </c>
      <c r="H4" s="45"/>
      <c r="K4" s="415" t="s">
        <v>2420</v>
      </c>
      <c r="L4" s="415" t="s">
        <v>758</v>
      </c>
      <c r="M4" s="482"/>
      <c r="N4" s="483" t="s">
        <v>2432</v>
      </c>
      <c r="O4" s="483"/>
      <c r="P4" s="483"/>
      <c r="Q4" s="483"/>
      <c r="R4" s="483"/>
      <c r="S4" s="483"/>
      <c r="T4" s="483"/>
      <c r="U4" s="483"/>
      <c r="V4" s="483"/>
      <c r="W4" s="483"/>
      <c r="X4" s="483"/>
      <c r="Y4" s="484"/>
    </row>
    <row r="5" spans="3:27" ht="15.6">
      <c r="C5" s="159" t="s">
        <v>79</v>
      </c>
      <c r="D5" s="159" t="s">
        <v>2420</v>
      </c>
      <c r="E5" s="45"/>
      <c r="F5" s="45"/>
      <c r="G5" s="45"/>
      <c r="H5" s="45"/>
      <c r="K5" s="415" t="s">
        <v>2420</v>
      </c>
      <c r="L5" s="415" t="s">
        <v>758</v>
      </c>
      <c r="M5" s="482"/>
      <c r="N5" s="483"/>
      <c r="O5" s="483"/>
      <c r="P5" s="483"/>
      <c r="Q5" s="485"/>
      <c r="R5" s="486"/>
      <c r="S5" s="487"/>
      <c r="T5" s="488"/>
      <c r="U5" s="489"/>
      <c r="V5" s="490"/>
      <c r="W5" s="483"/>
      <c r="X5" s="483"/>
      <c r="Y5" s="484"/>
    </row>
    <row r="6" spans="3:27" ht="28.8">
      <c r="C6" s="436" t="s">
        <v>2421</v>
      </c>
      <c r="D6" s="436" t="s">
        <v>2421</v>
      </c>
      <c r="E6" s="71"/>
      <c r="F6" s="71"/>
      <c r="G6" s="428" t="s">
        <v>2580</v>
      </c>
      <c r="H6" s="71"/>
      <c r="K6" s="415" t="s">
        <v>2421</v>
      </c>
      <c r="L6" s="415" t="s">
        <v>2421</v>
      </c>
      <c r="N6" s="491" t="s">
        <v>79</v>
      </c>
      <c r="O6" s="491" t="s">
        <v>2504</v>
      </c>
      <c r="P6" s="492" t="s">
        <v>1104</v>
      </c>
      <c r="Q6" s="492" t="s">
        <v>2505</v>
      </c>
      <c r="R6" s="492" t="s">
        <v>2506</v>
      </c>
      <c r="S6" s="492" t="s">
        <v>2507</v>
      </c>
      <c r="T6" s="492" t="s">
        <v>2508</v>
      </c>
      <c r="U6" s="492" t="s">
        <v>1087</v>
      </c>
      <c r="V6" s="492"/>
      <c r="W6" s="493" t="s">
        <v>2509</v>
      </c>
      <c r="X6" s="494" t="s">
        <v>2510</v>
      </c>
      <c r="Y6" s="492" t="s">
        <v>1122</v>
      </c>
      <c r="Z6" s="492" t="s">
        <v>2511</v>
      </c>
    </row>
    <row r="7" spans="3:27" ht="15">
      <c r="C7" s="415">
        <v>1</v>
      </c>
      <c r="D7" s="415">
        <v>76</v>
      </c>
      <c r="E7" s="66" t="s">
        <v>297</v>
      </c>
      <c r="F7" t="s">
        <v>887</v>
      </c>
      <c r="G7" s="364">
        <v>-692400.3529056781</v>
      </c>
      <c r="H7" t="s">
        <v>2580</v>
      </c>
      <c r="K7" s="415">
        <v>1</v>
      </c>
      <c r="L7" s="415">
        <v>76</v>
      </c>
      <c r="M7" s="415"/>
      <c r="N7" s="66" t="s">
        <v>297</v>
      </c>
      <c r="O7" t="s">
        <v>1728</v>
      </c>
      <c r="P7" s="577">
        <v>2649428.65</v>
      </c>
      <c r="Q7" s="577">
        <v>1185737.3580412162</v>
      </c>
      <c r="R7" s="577">
        <v>1702011.195029652</v>
      </c>
      <c r="S7" s="577">
        <v>122895.99923802739</v>
      </c>
      <c r="T7" s="577">
        <v>15668.921010843267</v>
      </c>
      <c r="U7" s="577">
        <v>13661.046680261152</v>
      </c>
      <c r="V7" s="200"/>
      <c r="W7" s="577">
        <v>301854.48290567775</v>
      </c>
      <c r="X7" s="590">
        <v>3039974.5200000005</v>
      </c>
      <c r="Y7" s="577">
        <v>3341829.002905678</v>
      </c>
      <c r="Z7" s="577">
        <v>-692400.3529056781</v>
      </c>
      <c r="AA7" s="375">
        <f>+G7-Z7</f>
        <v>0</v>
      </c>
    </row>
    <row r="8" spans="3:27" ht="15">
      <c r="C8" s="415">
        <v>2</v>
      </c>
      <c r="D8" s="415">
        <v>154</v>
      </c>
      <c r="E8" s="66" t="s">
        <v>424</v>
      </c>
      <c r="F8" t="s">
        <v>942</v>
      </c>
      <c r="G8" s="364">
        <v>-191265.42695399991</v>
      </c>
      <c r="H8" t="s">
        <v>2580</v>
      </c>
      <c r="K8" s="415">
        <v>2</v>
      </c>
      <c r="L8" s="415">
        <v>154</v>
      </c>
      <c r="M8" s="415"/>
      <c r="N8" s="66" t="s">
        <v>424</v>
      </c>
      <c r="O8" t="s">
        <v>1795</v>
      </c>
      <c r="P8" s="577">
        <v>328875.25</v>
      </c>
      <c r="Q8" s="577">
        <v>159520.48000000001</v>
      </c>
      <c r="R8" s="577">
        <v>276887.84999999998</v>
      </c>
      <c r="S8" s="577">
        <v>9442.36</v>
      </c>
      <c r="T8" s="577">
        <v>7478</v>
      </c>
      <c r="U8" s="577">
        <v>0</v>
      </c>
      <c r="V8" s="200"/>
      <c r="W8" s="577">
        <v>66811.986953999993</v>
      </c>
      <c r="X8" s="590">
        <v>453328.68999999994</v>
      </c>
      <c r="Y8" s="577">
        <v>520140.67695399991</v>
      </c>
      <c r="Z8" s="577">
        <v>-191265.42695399991</v>
      </c>
      <c r="AA8" s="375">
        <f t="shared" ref="AA8:AA71" si="0">+G8-Z8</f>
        <v>0</v>
      </c>
    </row>
    <row r="9" spans="3:27" ht="15">
      <c r="C9" s="415">
        <v>3</v>
      </c>
      <c r="D9" s="415">
        <v>165</v>
      </c>
      <c r="E9" s="66" t="s">
        <v>446</v>
      </c>
      <c r="F9" t="s">
        <v>952</v>
      </c>
      <c r="G9" s="364">
        <v>-115642.59785200001</v>
      </c>
      <c r="H9" t="s">
        <v>2580</v>
      </c>
      <c r="K9" s="415">
        <v>3</v>
      </c>
      <c r="L9" s="415">
        <v>165</v>
      </c>
      <c r="M9" s="415"/>
      <c r="N9" s="66" t="s">
        <v>446</v>
      </c>
      <c r="O9" t="s">
        <v>1806</v>
      </c>
      <c r="P9" s="577">
        <v>108096.22</v>
      </c>
      <c r="Q9" s="577">
        <v>66293.38</v>
      </c>
      <c r="R9" s="577">
        <v>106380.98999999999</v>
      </c>
      <c r="S9" s="577">
        <v>8208.1</v>
      </c>
      <c r="T9" s="577">
        <v>8684.82</v>
      </c>
      <c r="U9" s="577">
        <v>0</v>
      </c>
      <c r="V9" s="200"/>
      <c r="W9" s="577">
        <v>34171.527851999999</v>
      </c>
      <c r="X9" s="590">
        <v>189567.29</v>
      </c>
      <c r="Y9" s="577">
        <v>223738.81785200001</v>
      </c>
      <c r="Z9" s="577">
        <v>-115642.59785200001</v>
      </c>
      <c r="AA9" s="375">
        <f t="shared" si="0"/>
        <v>0</v>
      </c>
    </row>
    <row r="10" spans="3:27" ht="15">
      <c r="C10" s="415">
        <v>4</v>
      </c>
      <c r="D10" s="415">
        <v>221</v>
      </c>
      <c r="E10" s="66" t="s">
        <v>548</v>
      </c>
      <c r="F10" t="s">
        <v>999</v>
      </c>
      <c r="G10" s="364">
        <v>-611050.39387999987</v>
      </c>
      <c r="H10" t="s">
        <v>2580</v>
      </c>
      <c r="K10" s="415">
        <v>4</v>
      </c>
      <c r="L10" s="415">
        <v>221</v>
      </c>
      <c r="M10" s="415"/>
      <c r="N10" s="66" t="s">
        <v>548</v>
      </c>
      <c r="O10" t="s">
        <v>1856</v>
      </c>
      <c r="P10" s="577">
        <v>1112770.77</v>
      </c>
      <c r="Q10" s="577">
        <v>412658.85</v>
      </c>
      <c r="R10" s="577">
        <v>1071496.71</v>
      </c>
      <c r="S10" s="577">
        <v>22294.16</v>
      </c>
      <c r="T10" s="577">
        <v>10900.470000000001</v>
      </c>
      <c r="U10" s="577">
        <v>5417.15</v>
      </c>
      <c r="V10" s="200"/>
      <c r="W10" s="577">
        <v>201053.82387999998</v>
      </c>
      <c r="X10" s="590">
        <v>1522767.3399999999</v>
      </c>
      <c r="Y10" s="577">
        <v>1723821.1638799999</v>
      </c>
      <c r="Z10" s="577">
        <v>-611050.39387999987</v>
      </c>
      <c r="AA10" s="375">
        <f t="shared" si="0"/>
        <v>0</v>
      </c>
    </row>
    <row r="11" spans="3:27" ht="15">
      <c r="C11" s="415">
        <v>5</v>
      </c>
      <c r="D11" s="415">
        <v>234</v>
      </c>
      <c r="E11" s="66" t="s">
        <v>572</v>
      </c>
      <c r="F11" t="s">
        <v>1008</v>
      </c>
      <c r="G11" s="364">
        <v>-597257.40810789913</v>
      </c>
      <c r="H11" t="s">
        <v>2580</v>
      </c>
      <c r="K11" s="415">
        <v>5</v>
      </c>
      <c r="L11" s="415">
        <v>234</v>
      </c>
      <c r="M11" s="415"/>
      <c r="N11" s="66" t="s">
        <v>572</v>
      </c>
      <c r="O11" t="s">
        <v>1868</v>
      </c>
      <c r="P11" s="577">
        <v>2664054.4500000002</v>
      </c>
      <c r="Q11" s="577">
        <v>1126539.1784545169</v>
      </c>
      <c r="R11" s="577">
        <v>1692360.2321755914</v>
      </c>
      <c r="S11" s="577">
        <v>121139.03989972983</v>
      </c>
      <c r="T11" s="577">
        <v>63876.466688980327</v>
      </c>
      <c r="U11" s="577">
        <v>8081.4427811814403</v>
      </c>
      <c r="V11" s="200"/>
      <c r="W11" s="577">
        <v>249315.49810789927</v>
      </c>
      <c r="X11" s="590">
        <v>3011996.36</v>
      </c>
      <c r="Y11" s="577">
        <v>3261311.8581078993</v>
      </c>
      <c r="Z11" s="577">
        <v>-597257.40810789913</v>
      </c>
      <c r="AA11" s="375">
        <f t="shared" si="0"/>
        <v>0</v>
      </c>
    </row>
    <row r="12" spans="3:27" ht="15">
      <c r="C12" s="415">
        <v>6</v>
      </c>
      <c r="D12" s="415">
        <v>7</v>
      </c>
      <c r="E12" s="66" t="s">
        <v>175</v>
      </c>
      <c r="F12" t="s">
        <v>1578</v>
      </c>
      <c r="G12" s="364">
        <v>-117803.93677999999</v>
      </c>
      <c r="H12" t="s">
        <v>2580</v>
      </c>
      <c r="K12" s="415">
        <v>6</v>
      </c>
      <c r="L12" s="415">
        <v>7</v>
      </c>
      <c r="M12" s="415"/>
      <c r="N12" s="66" t="s">
        <v>175</v>
      </c>
      <c r="O12" t="s">
        <v>1665</v>
      </c>
      <c r="P12" s="577">
        <v>272383.15000000002</v>
      </c>
      <c r="Q12" s="577">
        <v>120114.66</v>
      </c>
      <c r="R12" s="577">
        <v>199970.97000000003</v>
      </c>
      <c r="S12" s="577">
        <v>10071.710000000001</v>
      </c>
      <c r="T12" s="577">
        <v>2629.52</v>
      </c>
      <c r="U12" s="577">
        <v>0</v>
      </c>
      <c r="V12" s="200"/>
      <c r="W12" s="577">
        <v>57400.226779999997</v>
      </c>
      <c r="X12" s="590">
        <v>332786.86000000004</v>
      </c>
      <c r="Y12" s="577">
        <v>390187.08678000001</v>
      </c>
      <c r="Z12" s="577">
        <v>-117803.93677999999</v>
      </c>
      <c r="AA12" s="375">
        <f t="shared" si="0"/>
        <v>0</v>
      </c>
    </row>
    <row r="13" spans="3:27" ht="15">
      <c r="C13" s="415">
        <v>7</v>
      </c>
      <c r="D13" s="415">
        <v>108</v>
      </c>
      <c r="E13" s="66" t="s">
        <v>97</v>
      </c>
      <c r="F13" t="s">
        <v>917</v>
      </c>
      <c r="G13" s="364">
        <v>-542000.85765471682</v>
      </c>
      <c r="H13" t="s">
        <v>2580</v>
      </c>
      <c r="K13" s="415">
        <v>7</v>
      </c>
      <c r="L13" s="415">
        <v>108</v>
      </c>
      <c r="M13" s="415"/>
      <c r="N13" s="66" t="s">
        <v>97</v>
      </c>
      <c r="O13" t="s">
        <v>1760</v>
      </c>
      <c r="P13" s="577">
        <v>14282915.48</v>
      </c>
      <c r="Q13" s="577">
        <v>6068185.8412106689</v>
      </c>
      <c r="R13" s="577">
        <v>6966486.1260646656</v>
      </c>
      <c r="S13" s="577">
        <v>473987.36068062886</v>
      </c>
      <c r="T13" s="577">
        <v>163471.9324513601</v>
      </c>
      <c r="U13" s="577">
        <v>61618.909592675707</v>
      </c>
      <c r="V13" s="200"/>
      <c r="W13" s="577">
        <v>1091166.1676547197</v>
      </c>
      <c r="X13" s="590">
        <v>13733750.169999998</v>
      </c>
      <c r="Y13" s="577">
        <v>14824916.337654717</v>
      </c>
      <c r="Z13" s="577">
        <v>-542000.85765471682</v>
      </c>
      <c r="AA13" s="375">
        <f t="shared" si="0"/>
        <v>0</v>
      </c>
    </row>
    <row r="14" spans="3:27" ht="15">
      <c r="C14" s="415">
        <v>8</v>
      </c>
      <c r="D14" s="415">
        <v>127</v>
      </c>
      <c r="E14" s="66" t="s">
        <v>376</v>
      </c>
      <c r="F14" t="s">
        <v>1614</v>
      </c>
      <c r="G14" s="364">
        <v>-924064.34603780741</v>
      </c>
      <c r="H14" t="s">
        <v>2580</v>
      </c>
      <c r="K14" s="415">
        <v>8</v>
      </c>
      <c r="L14" s="415">
        <v>127</v>
      </c>
      <c r="M14" s="415"/>
      <c r="N14" s="66" t="s">
        <v>376</v>
      </c>
      <c r="O14" t="s">
        <v>1770</v>
      </c>
      <c r="P14" s="577">
        <v>1498956.88</v>
      </c>
      <c r="Q14" s="577">
        <v>738857.9878367614</v>
      </c>
      <c r="R14" s="577">
        <v>1353326.0442349617</v>
      </c>
      <c r="S14" s="577">
        <v>68571.74797610307</v>
      </c>
      <c r="T14" s="577">
        <v>14121.339952173637</v>
      </c>
      <c r="U14" s="577">
        <v>0</v>
      </c>
      <c r="V14" s="200"/>
      <c r="W14" s="577">
        <v>248144.10603780762</v>
      </c>
      <c r="X14" s="590">
        <v>2174877.1199999996</v>
      </c>
      <c r="Y14" s="577">
        <v>2423021.2260378073</v>
      </c>
      <c r="Z14" s="577">
        <v>-924064.34603780741</v>
      </c>
      <c r="AA14" s="375">
        <f t="shared" si="0"/>
        <v>0</v>
      </c>
    </row>
    <row r="15" spans="3:27" ht="15">
      <c r="C15" s="415">
        <v>9</v>
      </c>
      <c r="D15" s="415">
        <v>36</v>
      </c>
      <c r="E15" s="66" t="s">
        <v>225</v>
      </c>
      <c r="F15" s="525" t="s">
        <v>854</v>
      </c>
      <c r="G15" s="364">
        <v>-37137.697210000828</v>
      </c>
      <c r="H15" t="s">
        <v>2580</v>
      </c>
      <c r="K15" s="415">
        <v>9</v>
      </c>
      <c r="L15" s="415">
        <v>36</v>
      </c>
      <c r="M15" s="415"/>
      <c r="N15" s="66" t="s">
        <v>225</v>
      </c>
      <c r="O15" t="s">
        <v>1692</v>
      </c>
      <c r="P15" s="577">
        <v>4630472.5999999996</v>
      </c>
      <c r="Q15" s="577">
        <v>1821443</v>
      </c>
      <c r="R15" s="577">
        <v>2087595.6600000001</v>
      </c>
      <c r="S15" s="577">
        <v>266678.39</v>
      </c>
      <c r="T15" s="577">
        <v>108542.24000000012</v>
      </c>
      <c r="U15" s="577">
        <v>16391.38</v>
      </c>
      <c r="V15" s="497"/>
      <c r="W15" s="577">
        <v>366959.62721000006</v>
      </c>
      <c r="X15" s="590">
        <v>4300650.67</v>
      </c>
      <c r="Y15" s="577">
        <v>4667610.2972100005</v>
      </c>
      <c r="Z15" s="577">
        <v>-37137.697210000828</v>
      </c>
      <c r="AA15" s="375">
        <f t="shared" si="0"/>
        <v>0</v>
      </c>
    </row>
    <row r="16" spans="3:27" ht="15">
      <c r="C16" s="415">
        <v>10</v>
      </c>
      <c r="D16" s="415">
        <v>105</v>
      </c>
      <c r="E16" s="66" t="s">
        <v>354</v>
      </c>
      <c r="F16" t="s">
        <v>914</v>
      </c>
      <c r="G16" s="364">
        <v>457368.14689899981</v>
      </c>
      <c r="H16" t="s">
        <v>2580</v>
      </c>
      <c r="K16" s="415">
        <v>10</v>
      </c>
      <c r="L16" s="415">
        <v>105</v>
      </c>
      <c r="M16" s="415"/>
      <c r="N16" s="66" t="s">
        <v>354</v>
      </c>
      <c r="O16" t="s">
        <v>1757</v>
      </c>
      <c r="P16" s="577">
        <v>9050572.7300000004</v>
      </c>
      <c r="Q16" s="577">
        <v>3408302.95</v>
      </c>
      <c r="R16" s="577">
        <v>4388065.55</v>
      </c>
      <c r="S16" s="577">
        <v>153850.95000000001</v>
      </c>
      <c r="T16" s="577">
        <v>95326.71</v>
      </c>
      <c r="U16" s="577">
        <v>0</v>
      </c>
      <c r="V16" s="200"/>
      <c r="W16" s="577">
        <v>547658.42310100002</v>
      </c>
      <c r="X16" s="590">
        <v>8045546.1600000001</v>
      </c>
      <c r="Y16" s="577">
        <v>8593204.5831010006</v>
      </c>
      <c r="Z16" s="577">
        <v>457368.14689899981</v>
      </c>
      <c r="AA16" s="375">
        <f t="shared" si="0"/>
        <v>0</v>
      </c>
    </row>
    <row r="17" spans="3:27" ht="15">
      <c r="C17" s="415">
        <v>11</v>
      </c>
      <c r="D17" s="415">
        <v>292</v>
      </c>
      <c r="E17" s="66" t="s">
        <v>671</v>
      </c>
      <c r="F17" t="s">
        <v>1052</v>
      </c>
      <c r="G17" s="364">
        <v>-2147644.6903576367</v>
      </c>
      <c r="H17" t="s">
        <v>2580</v>
      </c>
      <c r="K17" s="415">
        <v>11</v>
      </c>
      <c r="L17" s="415">
        <v>292</v>
      </c>
      <c r="M17" s="415"/>
      <c r="N17" s="66" t="s">
        <v>671</v>
      </c>
      <c r="O17" t="s">
        <v>1921</v>
      </c>
      <c r="P17" s="577">
        <v>4624253.32</v>
      </c>
      <c r="Q17" s="577">
        <v>1920845.0383134757</v>
      </c>
      <c r="R17" s="577">
        <v>3954905.1359693492</v>
      </c>
      <c r="S17" s="577">
        <v>92534.609812406183</v>
      </c>
      <c r="T17" s="577">
        <v>68664.074306042603</v>
      </c>
      <c r="U17" s="577">
        <v>1871.0615987262631</v>
      </c>
      <c r="V17" s="200"/>
      <c r="W17" s="577">
        <v>733078.0903576368</v>
      </c>
      <c r="X17" s="590">
        <v>6038819.9199999999</v>
      </c>
      <c r="Y17" s="577">
        <v>6771898.010357637</v>
      </c>
      <c r="Z17" s="577">
        <v>-2147644.6903576367</v>
      </c>
      <c r="AA17" s="375">
        <f t="shared" si="0"/>
        <v>0</v>
      </c>
    </row>
    <row r="18" spans="3:27" ht="15">
      <c r="C18" s="415">
        <v>12</v>
      </c>
      <c r="D18" s="415">
        <v>2</v>
      </c>
      <c r="E18" s="66" t="s">
        <v>165</v>
      </c>
      <c r="F18" s="340" t="s">
        <v>166</v>
      </c>
      <c r="G18" s="364">
        <v>-27836.600000000002</v>
      </c>
      <c r="H18" t="s">
        <v>2580</v>
      </c>
      <c r="K18" s="415">
        <v>12</v>
      </c>
      <c r="L18" s="415">
        <v>2</v>
      </c>
      <c r="M18" s="415"/>
      <c r="N18" s="66" t="s">
        <v>165</v>
      </c>
      <c r="O18" s="79" t="s">
        <v>2309</v>
      </c>
      <c r="P18" s="578">
        <v>1387.5</v>
      </c>
      <c r="Q18" s="578">
        <v>17929.29</v>
      </c>
      <c r="R18" s="578"/>
      <c r="S18" s="578">
        <v>8216.2000000000007</v>
      </c>
      <c r="T18" s="578"/>
      <c r="U18" s="578"/>
      <c r="V18" s="200"/>
      <c r="W18" s="578">
        <v>3078.61</v>
      </c>
      <c r="X18" s="578">
        <v>26145.49</v>
      </c>
      <c r="Y18" s="578">
        <v>29224.100000000002</v>
      </c>
      <c r="Z18" s="578">
        <v>-27836.600000000002</v>
      </c>
      <c r="AA18" s="375">
        <f t="shared" si="0"/>
        <v>0</v>
      </c>
    </row>
    <row r="19" spans="3:27" ht="15">
      <c r="C19" s="415">
        <v>13</v>
      </c>
      <c r="D19" s="415">
        <v>207</v>
      </c>
      <c r="E19" s="66" t="s">
        <v>527</v>
      </c>
      <c r="F19" t="s">
        <v>993</v>
      </c>
      <c r="G19" s="364">
        <v>-825959.71279088967</v>
      </c>
      <c r="H19" t="s">
        <v>2580</v>
      </c>
      <c r="K19" s="415">
        <v>13</v>
      </c>
      <c r="L19" s="415">
        <v>207</v>
      </c>
      <c r="M19" s="415"/>
      <c r="N19" s="66" t="s">
        <v>527</v>
      </c>
      <c r="O19" t="s">
        <v>1845</v>
      </c>
      <c r="P19" s="577">
        <v>13697446.43</v>
      </c>
      <c r="Q19" s="577">
        <v>5866428.4262015652</v>
      </c>
      <c r="R19" s="577">
        <v>6872462.0909927227</v>
      </c>
      <c r="S19" s="577">
        <v>397857.4009930992</v>
      </c>
      <c r="T19" s="577">
        <v>146732.03637505369</v>
      </c>
      <c r="U19" s="577">
        <v>13145.865437559298</v>
      </c>
      <c r="V19" s="200"/>
      <c r="W19" s="577">
        <v>1226780.3227908886</v>
      </c>
      <c r="X19" s="590">
        <v>13296625.82</v>
      </c>
      <c r="Y19" s="577">
        <v>14523406.142790889</v>
      </c>
      <c r="Z19" s="577">
        <v>-825959.71279088967</v>
      </c>
      <c r="AA19" s="375">
        <f t="shared" si="0"/>
        <v>0</v>
      </c>
    </row>
    <row r="20" spans="3:27" ht="15">
      <c r="C20" s="415">
        <v>14</v>
      </c>
      <c r="D20" s="415">
        <v>141</v>
      </c>
      <c r="E20" s="339" t="s">
        <v>398</v>
      </c>
      <c r="F20" s="340" t="s">
        <v>399</v>
      </c>
      <c r="G20" s="364"/>
      <c r="H20" t="s">
        <v>2580</v>
      </c>
      <c r="K20" s="415">
        <v>14</v>
      </c>
      <c r="L20" s="415">
        <v>141</v>
      </c>
      <c r="M20" s="415"/>
      <c r="N20" s="339" t="s">
        <v>398</v>
      </c>
      <c r="O20" s="340" t="s">
        <v>399</v>
      </c>
      <c r="P20" s="577"/>
      <c r="Q20" s="577"/>
      <c r="R20" s="577"/>
      <c r="S20" s="577"/>
      <c r="T20" s="577"/>
      <c r="U20" s="577"/>
      <c r="V20" s="200"/>
      <c r="W20" s="577"/>
      <c r="X20" s="590"/>
      <c r="Y20" s="577"/>
      <c r="Z20" s="577"/>
      <c r="AA20" s="375">
        <f t="shared" si="0"/>
        <v>0</v>
      </c>
    </row>
    <row r="21" spans="3:27" ht="15">
      <c r="C21" s="415">
        <v>15</v>
      </c>
      <c r="D21" s="415">
        <v>294</v>
      </c>
      <c r="E21" s="66" t="s">
        <v>675</v>
      </c>
      <c r="F21" t="s">
        <v>1054</v>
      </c>
      <c r="G21" s="364">
        <v>-491569.7617759998</v>
      </c>
      <c r="H21" t="s">
        <v>2580</v>
      </c>
      <c r="K21" s="415">
        <v>15</v>
      </c>
      <c r="L21" s="415">
        <v>294</v>
      </c>
      <c r="M21" s="415"/>
      <c r="N21" s="66" t="s">
        <v>675</v>
      </c>
      <c r="O21" t="s">
        <v>1923</v>
      </c>
      <c r="P21" s="577">
        <v>839894.78</v>
      </c>
      <c r="Q21" s="577">
        <v>336865.62</v>
      </c>
      <c r="R21" s="577">
        <v>780799.86</v>
      </c>
      <c r="S21" s="577">
        <v>18050.75</v>
      </c>
      <c r="T21" s="577">
        <v>10029.450000000001</v>
      </c>
      <c r="U21" s="577">
        <v>0</v>
      </c>
      <c r="V21" s="200"/>
      <c r="W21" s="577">
        <v>185718.86177599998</v>
      </c>
      <c r="X21" s="590">
        <v>1145745.68</v>
      </c>
      <c r="Y21" s="577">
        <v>1331464.5417759998</v>
      </c>
      <c r="Z21" s="577">
        <v>-491569.7617759998</v>
      </c>
      <c r="AA21" s="375">
        <f t="shared" si="0"/>
        <v>0</v>
      </c>
    </row>
    <row r="22" spans="3:27" ht="15">
      <c r="C22" s="415">
        <v>16</v>
      </c>
      <c r="D22" s="415">
        <v>156</v>
      </c>
      <c r="E22" s="66" t="s">
        <v>428</v>
      </c>
      <c r="F22" t="s">
        <v>944</v>
      </c>
      <c r="G22" s="364">
        <v>-29523.842084999982</v>
      </c>
      <c r="H22" t="s">
        <v>2580</v>
      </c>
      <c r="K22" s="415">
        <v>16</v>
      </c>
      <c r="L22" s="415">
        <v>156</v>
      </c>
      <c r="M22" s="415"/>
      <c r="N22" s="66" t="s">
        <v>428</v>
      </c>
      <c r="O22" t="s">
        <v>1797</v>
      </c>
      <c r="P22" s="577">
        <v>89002.91</v>
      </c>
      <c r="Q22" s="577">
        <v>51512.86</v>
      </c>
      <c r="R22" s="577">
        <v>59243.399999999994</v>
      </c>
      <c r="S22" s="577">
        <v>2240.15</v>
      </c>
      <c r="T22" s="577">
        <v>3610.08</v>
      </c>
      <c r="U22" s="577">
        <v>0</v>
      </c>
      <c r="V22" s="200"/>
      <c r="W22" s="577">
        <v>1920.2620849999998</v>
      </c>
      <c r="X22" s="590">
        <v>116606.48999999999</v>
      </c>
      <c r="Y22" s="577">
        <v>118526.75208499999</v>
      </c>
      <c r="Z22" s="577">
        <v>-29523.842084999982</v>
      </c>
      <c r="AA22" s="375">
        <f t="shared" si="0"/>
        <v>0</v>
      </c>
    </row>
    <row r="23" spans="3:27" ht="15">
      <c r="C23" s="415">
        <v>17</v>
      </c>
      <c r="D23" s="415">
        <v>126</v>
      </c>
      <c r="E23" s="66" t="s">
        <v>374</v>
      </c>
      <c r="F23" t="s">
        <v>925</v>
      </c>
      <c r="G23" s="364">
        <v>179661.1957130474</v>
      </c>
      <c r="H23" t="s">
        <v>2580</v>
      </c>
      <c r="K23" s="415">
        <v>17</v>
      </c>
      <c r="L23" s="415">
        <v>126</v>
      </c>
      <c r="M23" s="415"/>
      <c r="N23" s="66" t="s">
        <v>374</v>
      </c>
      <c r="O23" t="s">
        <v>1769</v>
      </c>
      <c r="P23" s="577">
        <v>3843884.27</v>
      </c>
      <c r="Q23" s="577">
        <v>1559456.8047131114</v>
      </c>
      <c r="R23" s="577">
        <v>1706170.3162272088</v>
      </c>
      <c r="S23" s="577">
        <v>34199.663886475799</v>
      </c>
      <c r="T23" s="577">
        <v>38397.427713502919</v>
      </c>
      <c r="U23" s="577">
        <v>51712.927459701161</v>
      </c>
      <c r="V23" s="200"/>
      <c r="W23" s="577">
        <v>274285.93428695231</v>
      </c>
      <c r="X23" s="590">
        <v>3389937.14</v>
      </c>
      <c r="Y23" s="577">
        <v>3664223.0742869526</v>
      </c>
      <c r="Z23" s="577">
        <v>179661.1957130474</v>
      </c>
      <c r="AA23" s="375">
        <f t="shared" si="0"/>
        <v>0</v>
      </c>
    </row>
    <row r="24" spans="3:27" ht="15">
      <c r="C24" s="415">
        <v>18</v>
      </c>
      <c r="D24" s="415">
        <v>181</v>
      </c>
      <c r="E24" s="66" t="s">
        <v>478</v>
      </c>
      <c r="F24" t="s">
        <v>968</v>
      </c>
      <c r="G24" s="364">
        <v>-144900.81865999987</v>
      </c>
      <c r="H24" t="s">
        <v>2580</v>
      </c>
      <c r="K24" s="415">
        <v>18</v>
      </c>
      <c r="L24" s="415">
        <v>181</v>
      </c>
      <c r="M24" s="415"/>
      <c r="N24" s="66" t="s">
        <v>478</v>
      </c>
      <c r="O24" t="s">
        <v>1821</v>
      </c>
      <c r="P24" s="577">
        <v>789911.99</v>
      </c>
      <c r="Q24" s="577">
        <v>232392</v>
      </c>
      <c r="R24" s="577">
        <v>393415.71</v>
      </c>
      <c r="S24" s="577">
        <v>79158.36</v>
      </c>
      <c r="T24" s="577">
        <v>74268.989999999991</v>
      </c>
      <c r="U24" s="577">
        <v>12851.71</v>
      </c>
      <c r="V24" s="200"/>
      <c r="W24" s="577">
        <v>142726.03866000002</v>
      </c>
      <c r="X24" s="590">
        <v>792086.7699999999</v>
      </c>
      <c r="Y24" s="577">
        <v>934812.80865999986</v>
      </c>
      <c r="Z24" s="577">
        <v>-144900.81865999987</v>
      </c>
      <c r="AA24" s="375">
        <f t="shared" si="0"/>
        <v>0</v>
      </c>
    </row>
    <row r="25" spans="3:27" ht="15">
      <c r="C25" s="415">
        <v>19</v>
      </c>
      <c r="D25" s="415">
        <v>50</v>
      </c>
      <c r="E25" s="66" t="s">
        <v>247</v>
      </c>
      <c r="F25" t="s">
        <v>864</v>
      </c>
      <c r="G25" s="364">
        <v>-166118.6580060001</v>
      </c>
      <c r="H25" t="s">
        <v>2580</v>
      </c>
      <c r="K25" s="415">
        <v>19</v>
      </c>
      <c r="L25" s="415">
        <v>50</v>
      </c>
      <c r="M25" s="415"/>
      <c r="N25" s="66" t="s">
        <v>247</v>
      </c>
      <c r="O25" t="s">
        <v>1703</v>
      </c>
      <c r="P25" s="577">
        <v>659823.43999999994</v>
      </c>
      <c r="Q25" s="577">
        <v>251127.28000000003</v>
      </c>
      <c r="R25" s="577">
        <v>348223.17</v>
      </c>
      <c r="S25" s="577">
        <v>33077.020000000004</v>
      </c>
      <c r="T25" s="577">
        <v>84854.07</v>
      </c>
      <c r="U25" s="577">
        <v>0</v>
      </c>
      <c r="V25" s="500"/>
      <c r="W25" s="577">
        <v>108660.55800600001</v>
      </c>
      <c r="X25" s="590">
        <v>717281.54</v>
      </c>
      <c r="Y25" s="577">
        <v>825942.09800600004</v>
      </c>
      <c r="Z25" s="577">
        <v>-166118.6580060001</v>
      </c>
      <c r="AA25" s="375">
        <f t="shared" si="0"/>
        <v>0</v>
      </c>
    </row>
    <row r="26" spans="3:27" ht="15">
      <c r="C26" s="415">
        <v>20</v>
      </c>
      <c r="D26" s="415">
        <v>93</v>
      </c>
      <c r="E26" s="66" t="s">
        <v>330</v>
      </c>
      <c r="F26" t="s">
        <v>902</v>
      </c>
      <c r="G26" s="364">
        <v>-101338.98457800002</v>
      </c>
      <c r="H26" t="s">
        <v>2580</v>
      </c>
      <c r="K26" s="415">
        <v>20</v>
      </c>
      <c r="L26" s="415">
        <v>93</v>
      </c>
      <c r="M26" s="415"/>
      <c r="N26" s="66" t="s">
        <v>330</v>
      </c>
      <c r="O26" t="s">
        <v>1745</v>
      </c>
      <c r="P26" s="577">
        <v>81413.2</v>
      </c>
      <c r="Q26" s="577">
        <v>48808.91</v>
      </c>
      <c r="R26" s="577">
        <v>77188.89</v>
      </c>
      <c r="S26" s="577">
        <v>2830.71</v>
      </c>
      <c r="T26" s="577">
        <v>12869.779999999999</v>
      </c>
      <c r="U26" s="577">
        <v>5932.42</v>
      </c>
      <c r="V26" s="497"/>
      <c r="W26" s="577">
        <v>35121.474578000001</v>
      </c>
      <c r="X26" s="590">
        <v>147630.71000000002</v>
      </c>
      <c r="Y26" s="577">
        <v>182752.18457800001</v>
      </c>
      <c r="Z26" s="577">
        <v>-101338.98457800002</v>
      </c>
      <c r="AA26" s="375">
        <f t="shared" si="0"/>
        <v>0</v>
      </c>
    </row>
    <row r="27" spans="3:27" ht="15">
      <c r="C27" s="415">
        <v>21</v>
      </c>
      <c r="D27" s="415">
        <v>219</v>
      </c>
      <c r="E27" s="66" t="s">
        <v>545</v>
      </c>
      <c r="F27" t="s">
        <v>1620</v>
      </c>
      <c r="G27" s="364">
        <v>421374.08388399985</v>
      </c>
      <c r="H27" t="s">
        <v>2580</v>
      </c>
      <c r="K27" s="415">
        <v>21</v>
      </c>
      <c r="L27" s="415">
        <v>219</v>
      </c>
      <c r="M27" s="415"/>
      <c r="N27" s="66" t="s">
        <v>545</v>
      </c>
      <c r="O27" t="s">
        <v>2581</v>
      </c>
      <c r="P27" s="577">
        <v>3175250.73</v>
      </c>
      <c r="Q27" s="577">
        <v>1065711.68</v>
      </c>
      <c r="R27" s="577">
        <v>1451419.23</v>
      </c>
      <c r="S27" s="577">
        <v>49693.25</v>
      </c>
      <c r="T27" s="577">
        <v>10352.209999999999</v>
      </c>
      <c r="U27" s="577">
        <v>30995.08</v>
      </c>
      <c r="V27" s="200"/>
      <c r="W27" s="577">
        <v>145705.19611600001</v>
      </c>
      <c r="X27" s="590">
        <v>2608171.4500000002</v>
      </c>
      <c r="Y27" s="577">
        <v>2753876.6461160001</v>
      </c>
      <c r="Z27" s="577">
        <v>421374.08388399985</v>
      </c>
      <c r="AA27" s="375">
        <f t="shared" si="0"/>
        <v>0</v>
      </c>
    </row>
    <row r="28" spans="3:27" ht="15">
      <c r="C28" s="415">
        <v>22</v>
      </c>
      <c r="D28" s="415">
        <v>35</v>
      </c>
      <c r="E28" s="66" t="s">
        <v>223</v>
      </c>
      <c r="F28" t="s">
        <v>853</v>
      </c>
      <c r="G28" s="364">
        <v>-1727843.4942890001</v>
      </c>
      <c r="H28" t="s">
        <v>2580</v>
      </c>
      <c r="K28" s="415">
        <v>22</v>
      </c>
      <c r="L28" s="415">
        <v>35</v>
      </c>
      <c r="M28" s="415"/>
      <c r="N28" s="66" t="s">
        <v>223</v>
      </c>
      <c r="O28" t="s">
        <v>1691</v>
      </c>
      <c r="P28" s="577">
        <v>2395388.5</v>
      </c>
      <c r="Q28" s="577">
        <v>1245659.7</v>
      </c>
      <c r="R28" s="577">
        <v>2506883.33</v>
      </c>
      <c r="S28" s="577">
        <v>29777.69</v>
      </c>
      <c r="T28" s="577">
        <v>20499.110000000008</v>
      </c>
      <c r="U28" s="577">
        <v>0</v>
      </c>
      <c r="V28" s="200"/>
      <c r="W28" s="577">
        <v>320412.16428899998</v>
      </c>
      <c r="X28" s="590">
        <v>3802819.83</v>
      </c>
      <c r="Y28" s="577">
        <v>4123231.9942890001</v>
      </c>
      <c r="Z28" s="577">
        <v>-1727843.4942890001</v>
      </c>
      <c r="AA28" s="375">
        <f t="shared" si="0"/>
        <v>0</v>
      </c>
    </row>
    <row r="29" spans="3:27" ht="15">
      <c r="C29" s="415">
        <v>23</v>
      </c>
      <c r="D29" s="415">
        <v>26</v>
      </c>
      <c r="E29" s="66" t="s">
        <v>209</v>
      </c>
      <c r="F29" t="s">
        <v>847</v>
      </c>
      <c r="G29" s="364">
        <v>-446390.51347200002</v>
      </c>
      <c r="H29" t="s">
        <v>2580</v>
      </c>
      <c r="K29" s="415">
        <v>23</v>
      </c>
      <c r="L29" s="415">
        <v>26</v>
      </c>
      <c r="M29" s="415"/>
      <c r="N29" s="66" t="s">
        <v>209</v>
      </c>
      <c r="O29" t="s">
        <v>1682</v>
      </c>
      <c r="P29" s="577">
        <v>410669.78</v>
      </c>
      <c r="Q29" s="577">
        <v>267727.92</v>
      </c>
      <c r="R29" s="577">
        <v>438505.35</v>
      </c>
      <c r="S29" s="577">
        <v>23673.9</v>
      </c>
      <c r="T29" s="577">
        <v>11256.14</v>
      </c>
      <c r="U29" s="577">
        <v>0</v>
      </c>
      <c r="V29" s="497"/>
      <c r="W29" s="577">
        <v>115896.98347199999</v>
      </c>
      <c r="X29" s="590">
        <v>741163.31</v>
      </c>
      <c r="Y29" s="577">
        <v>857060.29347200005</v>
      </c>
      <c r="Z29" s="577">
        <v>-446390.51347200002</v>
      </c>
      <c r="AA29" s="375">
        <f t="shared" si="0"/>
        <v>0</v>
      </c>
    </row>
    <row r="30" spans="3:27" ht="15">
      <c r="C30" s="415">
        <v>24</v>
      </c>
      <c r="D30" s="415">
        <v>199</v>
      </c>
      <c r="E30" s="66" t="s">
        <v>511</v>
      </c>
      <c r="F30" t="s">
        <v>985</v>
      </c>
      <c r="G30" s="364">
        <v>-5123.1700649999984</v>
      </c>
      <c r="H30" t="s">
        <v>2580</v>
      </c>
      <c r="K30" s="415">
        <v>24</v>
      </c>
      <c r="L30" s="415">
        <v>199</v>
      </c>
      <c r="M30" s="415"/>
      <c r="N30" s="66" t="s">
        <v>511</v>
      </c>
      <c r="O30" t="s">
        <v>1838</v>
      </c>
      <c r="P30" s="577">
        <v>92086.24</v>
      </c>
      <c r="Q30" s="577">
        <v>59875.29</v>
      </c>
      <c r="R30" s="577">
        <v>26034.36</v>
      </c>
      <c r="S30" s="577">
        <v>5460.63</v>
      </c>
      <c r="T30" s="577">
        <v>1154</v>
      </c>
      <c r="U30" s="577">
        <v>0</v>
      </c>
      <c r="V30" s="200"/>
      <c r="W30" s="577">
        <v>4685.1300650000003</v>
      </c>
      <c r="X30" s="590">
        <v>92524.28</v>
      </c>
      <c r="Y30" s="577">
        <v>97209.410065000004</v>
      </c>
      <c r="Z30" s="577">
        <v>-5123.1700649999984</v>
      </c>
      <c r="AA30" s="375">
        <f t="shared" si="0"/>
        <v>0</v>
      </c>
    </row>
    <row r="31" spans="3:27" ht="15">
      <c r="C31" s="415">
        <v>25</v>
      </c>
      <c r="D31" s="415">
        <v>19</v>
      </c>
      <c r="E31" s="66" t="s">
        <v>199</v>
      </c>
      <c r="F31" t="s">
        <v>842</v>
      </c>
      <c r="G31" s="364">
        <v>-153442.77773999999</v>
      </c>
      <c r="H31" t="s">
        <v>2580</v>
      </c>
      <c r="K31" s="415">
        <v>25</v>
      </c>
      <c r="L31" s="415">
        <v>19</v>
      </c>
      <c r="M31" s="415"/>
      <c r="N31" s="66" t="s">
        <v>199</v>
      </c>
      <c r="O31" t="s">
        <v>1677</v>
      </c>
      <c r="P31" s="577">
        <v>464926.18</v>
      </c>
      <c r="Q31" s="577">
        <v>198659.79</v>
      </c>
      <c r="R31" s="577">
        <v>366365.48</v>
      </c>
      <c r="S31" s="577">
        <v>5326.1299999999992</v>
      </c>
      <c r="T31" s="577">
        <v>4114.12</v>
      </c>
      <c r="U31" s="577">
        <v>29622.82</v>
      </c>
      <c r="V31" s="200"/>
      <c r="W31" s="577">
        <v>14280.61774</v>
      </c>
      <c r="X31" s="590">
        <v>604088.34</v>
      </c>
      <c r="Y31" s="577">
        <v>618368.95773999998</v>
      </c>
      <c r="Z31" s="577">
        <v>-153442.77773999999</v>
      </c>
      <c r="AA31" s="375">
        <f t="shared" si="0"/>
        <v>0</v>
      </c>
    </row>
    <row r="32" spans="3:27" ht="15">
      <c r="C32" s="415">
        <v>26</v>
      </c>
      <c r="D32" s="415">
        <v>18</v>
      </c>
      <c r="E32" s="66" t="s">
        <v>197</v>
      </c>
      <c r="F32" t="s">
        <v>841</v>
      </c>
      <c r="G32" s="364">
        <v>-292715.42008999991</v>
      </c>
      <c r="H32" t="s">
        <v>2580</v>
      </c>
      <c r="K32" s="415">
        <v>26</v>
      </c>
      <c r="L32" s="415">
        <v>18</v>
      </c>
      <c r="M32" s="415"/>
      <c r="N32" s="66" t="s">
        <v>197</v>
      </c>
      <c r="O32" t="s">
        <v>2495</v>
      </c>
      <c r="P32" s="577">
        <v>600142.05000000005</v>
      </c>
      <c r="Q32" s="577">
        <v>285986.49</v>
      </c>
      <c r="R32" s="577">
        <v>467247.64</v>
      </c>
      <c r="S32" s="577">
        <v>35433.01</v>
      </c>
      <c r="T32" s="577">
        <v>19314</v>
      </c>
      <c r="U32" s="577">
        <v>0</v>
      </c>
      <c r="V32" s="200"/>
      <c r="W32" s="577">
        <v>84876.330090000003</v>
      </c>
      <c r="X32" s="590">
        <v>807981.14</v>
      </c>
      <c r="Y32" s="577">
        <v>892857.47008999996</v>
      </c>
      <c r="Z32" s="577">
        <v>-292715.42008999991</v>
      </c>
      <c r="AA32" s="375">
        <f t="shared" si="0"/>
        <v>0</v>
      </c>
    </row>
    <row r="33" spans="3:27" ht="15">
      <c r="C33" s="415">
        <v>27</v>
      </c>
      <c r="D33" s="415">
        <v>45</v>
      </c>
      <c r="E33" s="66" t="s">
        <v>237</v>
      </c>
      <c r="F33" t="s">
        <v>859</v>
      </c>
      <c r="G33" s="364">
        <v>-341856.70607999992</v>
      </c>
      <c r="H33" t="s">
        <v>2580</v>
      </c>
      <c r="K33" s="415">
        <v>27</v>
      </c>
      <c r="L33" s="415">
        <v>45</v>
      </c>
      <c r="M33" s="415"/>
      <c r="N33" s="66" t="s">
        <v>237</v>
      </c>
      <c r="O33" t="s">
        <v>1698</v>
      </c>
      <c r="P33" s="577">
        <v>798810.77</v>
      </c>
      <c r="Q33" s="577">
        <v>539599.11</v>
      </c>
      <c r="R33" s="577">
        <v>497187.16000000003</v>
      </c>
      <c r="S33" s="577">
        <v>3453.22</v>
      </c>
      <c r="T33" s="577">
        <v>15386.72</v>
      </c>
      <c r="U33" s="577">
        <v>0</v>
      </c>
      <c r="V33" s="200"/>
      <c r="W33" s="577">
        <v>85041.266080000001</v>
      </c>
      <c r="X33" s="590">
        <v>1055626.21</v>
      </c>
      <c r="Y33" s="577">
        <v>1140667.4760799999</v>
      </c>
      <c r="Z33" s="577">
        <v>-341856.70607999992</v>
      </c>
      <c r="AA33" s="375">
        <f t="shared" si="0"/>
        <v>0</v>
      </c>
    </row>
    <row r="34" spans="3:27" ht="15">
      <c r="C34" s="415">
        <v>28</v>
      </c>
      <c r="D34" s="415">
        <v>132</v>
      </c>
      <c r="E34" s="66" t="s">
        <v>1575</v>
      </c>
      <c r="F34" t="s">
        <v>1615</v>
      </c>
      <c r="G34" s="364">
        <v>-271894.97926000005</v>
      </c>
      <c r="H34" t="s">
        <v>2580</v>
      </c>
      <c r="K34" s="415">
        <v>28</v>
      </c>
      <c r="L34" s="415">
        <v>132</v>
      </c>
      <c r="M34" s="415"/>
      <c r="N34" s="66" t="s">
        <v>1575</v>
      </c>
      <c r="O34" t="s">
        <v>1964</v>
      </c>
      <c r="P34" s="577">
        <v>255511.96</v>
      </c>
      <c r="Q34" s="577">
        <v>313704.5</v>
      </c>
      <c r="R34" s="577">
        <v>179169.65</v>
      </c>
      <c r="S34" s="577">
        <v>5930.91</v>
      </c>
      <c r="T34" s="577">
        <v>163.80000000000001</v>
      </c>
      <c r="U34" s="577">
        <v>0</v>
      </c>
      <c r="V34" s="200"/>
      <c r="W34" s="577">
        <v>28438.079259999999</v>
      </c>
      <c r="X34" s="590">
        <v>498968.86</v>
      </c>
      <c r="Y34" s="577">
        <v>527406.93926000001</v>
      </c>
      <c r="Z34" s="577">
        <v>-271894.97926000005</v>
      </c>
      <c r="AA34" s="375">
        <f t="shared" si="0"/>
        <v>0</v>
      </c>
    </row>
    <row r="35" spans="3:27" ht="15">
      <c r="C35" s="415">
        <v>29</v>
      </c>
      <c r="D35" s="415">
        <v>142</v>
      </c>
      <c r="E35" s="66" t="s">
        <v>400</v>
      </c>
      <c r="F35" t="s">
        <v>934</v>
      </c>
      <c r="G35" s="364">
        <v>-46031.919644000016</v>
      </c>
      <c r="H35" t="s">
        <v>2580</v>
      </c>
      <c r="K35" s="415">
        <v>29</v>
      </c>
      <c r="L35" s="415">
        <v>142</v>
      </c>
      <c r="M35" s="415"/>
      <c r="N35" s="66" t="s">
        <v>400</v>
      </c>
      <c r="O35" t="s">
        <v>1783</v>
      </c>
      <c r="P35" s="577">
        <v>49781.63</v>
      </c>
      <c r="Q35" s="577">
        <v>26415.94</v>
      </c>
      <c r="R35" s="577">
        <v>53409.55</v>
      </c>
      <c r="S35" s="577">
        <v>1195.77</v>
      </c>
      <c r="T35" s="577">
        <v>1623.5</v>
      </c>
      <c r="U35" s="577">
        <v>0</v>
      </c>
      <c r="V35" s="200"/>
      <c r="W35" s="577">
        <v>13168.789643999999</v>
      </c>
      <c r="X35" s="590">
        <v>82644.760000000009</v>
      </c>
      <c r="Y35" s="577">
        <v>95813.549644000013</v>
      </c>
      <c r="Z35" s="577">
        <v>-46031.919644000016</v>
      </c>
      <c r="AA35" s="375">
        <f t="shared" si="0"/>
        <v>0</v>
      </c>
    </row>
    <row r="36" spans="3:27" ht="15">
      <c r="C36" s="415">
        <v>30</v>
      </c>
      <c r="D36" s="415">
        <v>129</v>
      </c>
      <c r="E36" s="66" t="s">
        <v>380</v>
      </c>
      <c r="F36" t="s">
        <v>927</v>
      </c>
      <c r="G36" s="364">
        <v>-535961.55875917338</v>
      </c>
      <c r="H36" t="s">
        <v>2580</v>
      </c>
      <c r="K36" s="415">
        <v>30</v>
      </c>
      <c r="L36" s="415">
        <v>129</v>
      </c>
      <c r="M36" s="415"/>
      <c r="N36" s="66" t="s">
        <v>380</v>
      </c>
      <c r="O36" t="s">
        <v>1772</v>
      </c>
      <c r="P36" s="577">
        <v>4742977.1900000004</v>
      </c>
      <c r="Q36" s="577">
        <v>1874364.8680460937</v>
      </c>
      <c r="R36" s="577">
        <v>3024562.848666776</v>
      </c>
      <c r="S36" s="577">
        <v>-152366.95556934996</v>
      </c>
      <c r="T36" s="577">
        <v>82068.324852668418</v>
      </c>
      <c r="U36" s="577">
        <v>22532.204003812232</v>
      </c>
      <c r="V36" s="200"/>
      <c r="W36" s="577">
        <v>427777.45875917363</v>
      </c>
      <c r="X36" s="590">
        <v>4851161.29</v>
      </c>
      <c r="Y36" s="577">
        <v>5278938.7487591738</v>
      </c>
      <c r="Z36" s="577">
        <v>-535961.55875917338</v>
      </c>
      <c r="AA36" s="375">
        <f t="shared" si="0"/>
        <v>0</v>
      </c>
    </row>
    <row r="37" spans="3:27" ht="15">
      <c r="C37" s="415">
        <v>31</v>
      </c>
      <c r="D37" s="415">
        <v>250</v>
      </c>
      <c r="E37" s="66" t="s">
        <v>604</v>
      </c>
      <c r="F37" t="s">
        <v>1021</v>
      </c>
      <c r="G37" s="364">
        <v>-2010328.9729891149</v>
      </c>
      <c r="H37" t="s">
        <v>2580</v>
      </c>
      <c r="K37" s="415">
        <v>31</v>
      </c>
      <c r="L37" s="415">
        <v>250</v>
      </c>
      <c r="M37" s="415"/>
      <c r="N37" s="66" t="s">
        <v>604</v>
      </c>
      <c r="O37" t="s">
        <v>1884</v>
      </c>
      <c r="P37" s="577">
        <v>7612762.3700000001</v>
      </c>
      <c r="Q37" s="577">
        <v>4038652.023725572</v>
      </c>
      <c r="R37" s="577">
        <v>4265030.4308405574</v>
      </c>
      <c r="S37" s="577">
        <v>461055.5800575366</v>
      </c>
      <c r="T37" s="577">
        <v>122149.40486447615</v>
      </c>
      <c r="U37" s="577">
        <v>7514.1205118577582</v>
      </c>
      <c r="V37" s="200"/>
      <c r="W37" s="577">
        <v>728689.78298911417</v>
      </c>
      <c r="X37" s="590">
        <v>8894401.5600000005</v>
      </c>
      <c r="Y37" s="577">
        <v>9623091.342989115</v>
      </c>
      <c r="Z37" s="577">
        <v>-2010328.9729891149</v>
      </c>
      <c r="AA37" s="375">
        <f t="shared" si="0"/>
        <v>0</v>
      </c>
    </row>
    <row r="38" spans="3:27" ht="15">
      <c r="C38" s="415">
        <v>32</v>
      </c>
      <c r="D38" s="415">
        <v>162</v>
      </c>
      <c r="E38" s="66" t="s">
        <v>440</v>
      </c>
      <c r="F38" t="s">
        <v>950</v>
      </c>
      <c r="G38" s="364">
        <v>-153861.65282400046</v>
      </c>
      <c r="H38" t="s">
        <v>2580</v>
      </c>
      <c r="K38" s="415">
        <v>32</v>
      </c>
      <c r="L38" s="415">
        <v>162</v>
      </c>
      <c r="M38" s="415"/>
      <c r="N38" s="66" t="s">
        <v>440</v>
      </c>
      <c r="O38" t="s">
        <v>1803</v>
      </c>
      <c r="P38" s="577">
        <v>2464426.2400000002</v>
      </c>
      <c r="Q38" s="577">
        <v>1073300.3</v>
      </c>
      <c r="R38" s="577">
        <v>1345182.9300000002</v>
      </c>
      <c r="S38" s="577">
        <v>53313.89</v>
      </c>
      <c r="T38" s="577">
        <v>8083.2900000000554</v>
      </c>
      <c r="U38" s="577">
        <v>0</v>
      </c>
      <c r="V38" s="200"/>
      <c r="W38" s="577">
        <v>138407.48282400001</v>
      </c>
      <c r="X38" s="590">
        <v>2479880.4100000006</v>
      </c>
      <c r="Y38" s="577">
        <v>2618287.8928240007</v>
      </c>
      <c r="Z38" s="577">
        <v>-153861.65282400046</v>
      </c>
      <c r="AA38" s="375">
        <f t="shared" si="0"/>
        <v>0</v>
      </c>
    </row>
    <row r="39" spans="3:27" ht="15">
      <c r="C39" s="415">
        <v>33</v>
      </c>
      <c r="D39" s="415">
        <v>160</v>
      </c>
      <c r="E39" s="66" t="s">
        <v>436</v>
      </c>
      <c r="F39" t="s">
        <v>948</v>
      </c>
      <c r="G39" s="364">
        <v>-168180.85031799995</v>
      </c>
      <c r="H39" t="s">
        <v>2580</v>
      </c>
      <c r="K39" s="415">
        <v>33</v>
      </c>
      <c r="L39" s="415">
        <v>160</v>
      </c>
      <c r="M39" s="415"/>
      <c r="N39" s="66" t="s">
        <v>436</v>
      </c>
      <c r="O39" t="s">
        <v>1801</v>
      </c>
      <c r="P39" s="577">
        <v>1596778.51</v>
      </c>
      <c r="Q39" s="577">
        <v>644280.5</v>
      </c>
      <c r="R39" s="577">
        <v>860462.49</v>
      </c>
      <c r="S39" s="577">
        <v>108023.42</v>
      </c>
      <c r="T39" s="577">
        <v>707.94999999988818</v>
      </c>
      <c r="U39" s="577">
        <v>0</v>
      </c>
      <c r="V39" s="497"/>
      <c r="W39" s="577">
        <v>151485.00031799998</v>
      </c>
      <c r="X39" s="590">
        <v>1613474.3599999999</v>
      </c>
      <c r="Y39" s="577">
        <v>1764959.360318</v>
      </c>
      <c r="Z39" s="577">
        <v>-168180.85031799995</v>
      </c>
      <c r="AA39" s="375">
        <f t="shared" si="0"/>
        <v>0</v>
      </c>
    </row>
    <row r="40" spans="3:27" ht="15">
      <c r="C40" s="415">
        <v>34</v>
      </c>
      <c r="D40" s="415">
        <v>252</v>
      </c>
      <c r="E40" s="66" t="s">
        <v>608</v>
      </c>
      <c r="F40" t="s">
        <v>1023</v>
      </c>
      <c r="G40" s="364">
        <v>-1266481.9653739994</v>
      </c>
      <c r="H40" t="s">
        <v>2580</v>
      </c>
      <c r="K40" s="415">
        <v>34</v>
      </c>
      <c r="L40" s="415">
        <v>252</v>
      </c>
      <c r="M40" s="415"/>
      <c r="N40" s="66" t="s">
        <v>608</v>
      </c>
      <c r="O40" t="s">
        <v>1886</v>
      </c>
      <c r="P40" s="577">
        <v>3704089.49</v>
      </c>
      <c r="Q40" s="577">
        <v>2113622.94</v>
      </c>
      <c r="R40" s="577">
        <v>2163647.2400000002</v>
      </c>
      <c r="S40" s="577">
        <v>293379.18</v>
      </c>
      <c r="T40" s="577">
        <v>4982.16</v>
      </c>
      <c r="U40" s="577">
        <v>279.95999999999998</v>
      </c>
      <c r="V40" s="497"/>
      <c r="W40" s="577">
        <v>394659.97537400009</v>
      </c>
      <c r="X40" s="590">
        <v>4575911.4799999995</v>
      </c>
      <c r="Y40" s="577">
        <v>4970571.4553739997</v>
      </c>
      <c r="Z40" s="577">
        <v>-1266481.9653739994</v>
      </c>
      <c r="AA40" s="375">
        <f t="shared" si="0"/>
        <v>0</v>
      </c>
    </row>
    <row r="41" spans="3:27" ht="15">
      <c r="C41" s="415">
        <v>35</v>
      </c>
      <c r="D41" s="415">
        <v>263</v>
      </c>
      <c r="E41" s="66" t="s">
        <v>620</v>
      </c>
      <c r="F41" t="s">
        <v>1028</v>
      </c>
      <c r="G41" s="364">
        <v>-128348.4833640001</v>
      </c>
      <c r="H41" t="s">
        <v>2580</v>
      </c>
      <c r="K41" s="415">
        <v>35</v>
      </c>
      <c r="L41" s="415">
        <v>263</v>
      </c>
      <c r="M41" s="415"/>
      <c r="N41" s="66" t="s">
        <v>620</v>
      </c>
      <c r="O41" t="s">
        <v>1893</v>
      </c>
      <c r="P41" s="577">
        <v>526340.6</v>
      </c>
      <c r="Q41" s="577">
        <v>283685.75</v>
      </c>
      <c r="R41" s="577">
        <v>269061.44000000006</v>
      </c>
      <c r="S41" s="577">
        <v>21390.68</v>
      </c>
      <c r="T41" s="577">
        <v>9421.25</v>
      </c>
      <c r="U41" s="577">
        <v>0</v>
      </c>
      <c r="V41" s="200"/>
      <c r="W41" s="577">
        <v>71129.96336400001</v>
      </c>
      <c r="X41" s="590">
        <v>583559.12000000011</v>
      </c>
      <c r="Y41" s="577">
        <v>654689.08336400008</v>
      </c>
      <c r="Z41" s="577">
        <v>-128348.4833640001</v>
      </c>
      <c r="AA41" s="375">
        <f t="shared" si="0"/>
        <v>0</v>
      </c>
    </row>
    <row r="42" spans="3:27" ht="15">
      <c r="C42" s="415">
        <v>36</v>
      </c>
      <c r="D42" s="415">
        <v>211</v>
      </c>
      <c r="E42" s="66" t="s">
        <v>1508</v>
      </c>
      <c r="F42" s="342" t="s">
        <v>1548</v>
      </c>
      <c r="G42" s="364">
        <v>-49028.965785000008</v>
      </c>
      <c r="H42" t="s">
        <v>2580</v>
      </c>
      <c r="K42" s="415">
        <v>36</v>
      </c>
      <c r="L42" s="415">
        <v>211</v>
      </c>
      <c r="M42" s="415"/>
      <c r="N42" s="66" t="s">
        <v>1508</v>
      </c>
      <c r="O42" t="s">
        <v>2582</v>
      </c>
      <c r="P42" s="577">
        <v>561861.56999999995</v>
      </c>
      <c r="Q42" s="577">
        <v>320340.59999999998</v>
      </c>
      <c r="R42" s="577">
        <v>220412.12</v>
      </c>
      <c r="S42" s="577">
        <v>31473.39</v>
      </c>
      <c r="T42" s="577">
        <v>0</v>
      </c>
      <c r="U42" s="577">
        <v>0</v>
      </c>
      <c r="V42" s="200"/>
      <c r="W42" s="577">
        <v>38664.425784999999</v>
      </c>
      <c r="X42" s="590">
        <v>572226.11</v>
      </c>
      <c r="Y42" s="577">
        <v>610890.53578499996</v>
      </c>
      <c r="Z42" s="577">
        <v>-49028.965785000008</v>
      </c>
      <c r="AA42" s="375">
        <f t="shared" si="0"/>
        <v>0</v>
      </c>
    </row>
    <row r="43" spans="3:27" ht="15">
      <c r="C43" s="415">
        <v>37</v>
      </c>
      <c r="D43" s="415">
        <v>95</v>
      </c>
      <c r="E43" s="66" t="s">
        <v>334</v>
      </c>
      <c r="F43" t="s">
        <v>904</v>
      </c>
      <c r="G43" s="364">
        <v>-369063.19081300002</v>
      </c>
      <c r="H43" t="s">
        <v>2580</v>
      </c>
      <c r="K43" s="415">
        <v>37</v>
      </c>
      <c r="L43" s="415">
        <v>95</v>
      </c>
      <c r="M43" s="415"/>
      <c r="N43" s="66" t="s">
        <v>334</v>
      </c>
      <c r="O43" t="s">
        <v>1747</v>
      </c>
      <c r="P43" s="577">
        <v>389720.18</v>
      </c>
      <c r="Q43" s="577">
        <v>267037.8</v>
      </c>
      <c r="R43" s="577">
        <v>371465.83</v>
      </c>
      <c r="S43" s="577">
        <v>14473.17</v>
      </c>
      <c r="T43" s="577">
        <v>8942.2099999999991</v>
      </c>
      <c r="U43" s="577">
        <v>0</v>
      </c>
      <c r="V43" s="200"/>
      <c r="W43" s="577">
        <v>96864.360813000007</v>
      </c>
      <c r="X43" s="590">
        <v>661919.01</v>
      </c>
      <c r="Y43" s="577">
        <v>758783.37081300002</v>
      </c>
      <c r="Z43" s="577">
        <v>-369063.19081300002</v>
      </c>
      <c r="AA43" s="375">
        <f t="shared" si="0"/>
        <v>0</v>
      </c>
    </row>
    <row r="44" spans="3:27" ht="15">
      <c r="C44" s="415">
        <v>38</v>
      </c>
      <c r="D44" s="415">
        <v>6</v>
      </c>
      <c r="E44" s="66" t="s">
        <v>173</v>
      </c>
      <c r="F44" t="s">
        <v>832</v>
      </c>
      <c r="G44" s="364">
        <v>-315093.39170263964</v>
      </c>
      <c r="H44" t="s">
        <v>2580</v>
      </c>
      <c r="K44" s="415">
        <v>38</v>
      </c>
      <c r="L44" s="415">
        <v>6</v>
      </c>
      <c r="M44" s="415"/>
      <c r="N44" s="66" t="s">
        <v>173</v>
      </c>
      <c r="O44" t="s">
        <v>1664</v>
      </c>
      <c r="P44" s="577">
        <v>1790477.59</v>
      </c>
      <c r="Q44" s="577">
        <v>845651.91132260382</v>
      </c>
      <c r="R44" s="577">
        <v>955267.89428022597</v>
      </c>
      <c r="S44" s="577">
        <v>58780.259543673543</v>
      </c>
      <c r="T44" s="577">
        <v>25842.297130037983</v>
      </c>
      <c r="U44" s="577">
        <v>15482.167723458748</v>
      </c>
      <c r="V44" s="200"/>
      <c r="W44" s="577">
        <v>204546.45170263955</v>
      </c>
      <c r="X44" s="590">
        <v>1901024.5300000003</v>
      </c>
      <c r="Y44" s="577">
        <v>2105570.9817026397</v>
      </c>
      <c r="Z44" s="577">
        <v>-315093.39170263964</v>
      </c>
      <c r="AA44" s="375">
        <f t="shared" si="0"/>
        <v>0</v>
      </c>
    </row>
    <row r="45" spans="3:27" ht="15">
      <c r="C45" s="415">
        <v>39</v>
      </c>
      <c r="D45" s="415">
        <v>139</v>
      </c>
      <c r="E45" s="66" t="s">
        <v>394</v>
      </c>
      <c r="F45" t="s">
        <v>395</v>
      </c>
      <c r="G45" s="364">
        <v>-191668.16048727557</v>
      </c>
      <c r="H45" t="s">
        <v>2580</v>
      </c>
      <c r="K45" s="415">
        <v>39</v>
      </c>
      <c r="L45" s="415">
        <v>139</v>
      </c>
      <c r="M45" s="415"/>
      <c r="N45" s="66" t="s">
        <v>394</v>
      </c>
      <c r="O45" t="s">
        <v>1780</v>
      </c>
      <c r="P45" s="577">
        <v>376365.26</v>
      </c>
      <c r="Q45" s="577">
        <v>120796.89224629113</v>
      </c>
      <c r="R45" s="577">
        <v>275027.00596665556</v>
      </c>
      <c r="S45" s="577">
        <v>51388.195225814416</v>
      </c>
      <c r="T45" s="577">
        <v>29579.806561238915</v>
      </c>
      <c r="U45" s="577">
        <v>0</v>
      </c>
      <c r="V45" s="200"/>
      <c r="W45" s="577">
        <v>91241.520487275571</v>
      </c>
      <c r="X45" s="590">
        <v>476791.9</v>
      </c>
      <c r="Y45" s="577">
        <v>568033.42048727558</v>
      </c>
      <c r="Z45" s="577">
        <v>-191668.16048727557</v>
      </c>
      <c r="AA45" s="375">
        <f t="shared" si="0"/>
        <v>0</v>
      </c>
    </row>
    <row r="46" spans="3:27" ht="15">
      <c r="C46" s="415">
        <v>40</v>
      </c>
      <c r="D46" s="415">
        <v>204</v>
      </c>
      <c r="E46" s="66" t="s">
        <v>521</v>
      </c>
      <c r="F46" t="s">
        <v>990</v>
      </c>
      <c r="G46" s="364">
        <v>-1246028.40577944</v>
      </c>
      <c r="H46" t="s">
        <v>2580</v>
      </c>
      <c r="K46" s="415">
        <v>40</v>
      </c>
      <c r="L46" s="415">
        <v>204</v>
      </c>
      <c r="M46" s="415"/>
      <c r="N46" s="66" t="s">
        <v>521</v>
      </c>
      <c r="O46" t="s">
        <v>1842</v>
      </c>
      <c r="P46" s="577">
        <v>9237629.3200000003</v>
      </c>
      <c r="Q46" s="577">
        <v>3557634.4837360126</v>
      </c>
      <c r="R46" s="577">
        <v>5169605.0620211139</v>
      </c>
      <c r="S46" s="577">
        <v>641713.38582086377</v>
      </c>
      <c r="T46" s="577">
        <v>192132.34623718259</v>
      </c>
      <c r="U46" s="577">
        <v>9447.5821848270225</v>
      </c>
      <c r="V46" s="200"/>
      <c r="W46" s="577">
        <v>913124.86577944038</v>
      </c>
      <c r="X46" s="590">
        <v>9570532.8599999994</v>
      </c>
      <c r="Y46" s="577">
        <v>10483657.72577944</v>
      </c>
      <c r="Z46" s="577">
        <v>-1246028.40577944</v>
      </c>
      <c r="AA46" s="375">
        <f t="shared" si="0"/>
        <v>0</v>
      </c>
    </row>
    <row r="47" spans="3:27" ht="15">
      <c r="C47" s="415">
        <v>41</v>
      </c>
      <c r="D47" s="415">
        <v>305</v>
      </c>
      <c r="E47" s="66" t="s">
        <v>693</v>
      </c>
      <c r="F47" t="s">
        <v>1062</v>
      </c>
      <c r="G47" s="364">
        <v>-87329.06011999998</v>
      </c>
      <c r="H47" t="s">
        <v>2580</v>
      </c>
      <c r="K47" s="415">
        <v>41</v>
      </c>
      <c r="L47" s="415">
        <v>305</v>
      </c>
      <c r="M47" s="415"/>
      <c r="N47" s="66" t="s">
        <v>693</v>
      </c>
      <c r="O47" t="s">
        <v>1933</v>
      </c>
      <c r="P47" s="577">
        <v>371273.67</v>
      </c>
      <c r="Q47" s="577">
        <v>189707.77</v>
      </c>
      <c r="R47" s="577">
        <v>199174.59999999998</v>
      </c>
      <c r="S47" s="577">
        <v>19004.47</v>
      </c>
      <c r="T47" s="577">
        <v>8813.1299999999992</v>
      </c>
      <c r="U47" s="577">
        <v>0</v>
      </c>
      <c r="V47" s="498"/>
      <c r="W47" s="577">
        <v>41902.760119999992</v>
      </c>
      <c r="X47" s="590">
        <v>416699.97</v>
      </c>
      <c r="Y47" s="577">
        <v>458602.73011999996</v>
      </c>
      <c r="Z47" s="577">
        <v>-87329.06011999998</v>
      </c>
      <c r="AA47" s="375">
        <f t="shared" si="0"/>
        <v>0</v>
      </c>
    </row>
    <row r="48" spans="3:27" ht="15">
      <c r="C48" s="415">
        <v>42</v>
      </c>
      <c r="D48" s="415">
        <v>287</v>
      </c>
      <c r="E48" s="66" t="s">
        <v>662</v>
      </c>
      <c r="F48" t="s">
        <v>1048</v>
      </c>
      <c r="G48" s="364">
        <v>-178075.59524499997</v>
      </c>
      <c r="H48" t="s">
        <v>2580</v>
      </c>
      <c r="K48" s="415">
        <v>42</v>
      </c>
      <c r="L48" s="415">
        <v>287</v>
      </c>
      <c r="M48" s="415"/>
      <c r="N48" s="66" t="s">
        <v>662</v>
      </c>
      <c r="O48" t="s">
        <v>1916</v>
      </c>
      <c r="P48" s="577">
        <v>1008427.56</v>
      </c>
      <c r="Q48" s="577">
        <v>488012.92</v>
      </c>
      <c r="R48" s="577">
        <v>503650.14</v>
      </c>
      <c r="S48" s="577">
        <v>50765.869999999995</v>
      </c>
      <c r="T48" s="577">
        <v>11392.2</v>
      </c>
      <c r="U48" s="577">
        <v>0</v>
      </c>
      <c r="V48" s="200"/>
      <c r="W48" s="577">
        <v>132682.025245</v>
      </c>
      <c r="X48" s="590">
        <v>1053821.1300000001</v>
      </c>
      <c r="Y48" s="577">
        <v>1186503.155245</v>
      </c>
      <c r="Z48" s="577">
        <v>-178075.59524499997</v>
      </c>
      <c r="AA48" s="375">
        <f t="shared" si="0"/>
        <v>0</v>
      </c>
    </row>
    <row r="49" spans="3:27" ht="15">
      <c r="C49" s="415">
        <v>43</v>
      </c>
      <c r="D49" s="415">
        <v>309</v>
      </c>
      <c r="E49" s="66" t="s">
        <v>701</v>
      </c>
      <c r="F49" t="s">
        <v>1064</v>
      </c>
      <c r="G49" s="364">
        <v>-82592.816395000016</v>
      </c>
      <c r="H49" t="s">
        <v>2580</v>
      </c>
      <c r="K49" s="415">
        <v>43</v>
      </c>
      <c r="L49" s="415">
        <v>309</v>
      </c>
      <c r="M49" s="415"/>
      <c r="N49" s="66" t="s">
        <v>701</v>
      </c>
      <c r="O49" t="s">
        <v>1937</v>
      </c>
      <c r="P49" s="577">
        <v>84388.29</v>
      </c>
      <c r="Q49" s="577">
        <v>49321.42</v>
      </c>
      <c r="R49" s="577">
        <v>69419.3</v>
      </c>
      <c r="S49" s="577">
        <v>8148.75</v>
      </c>
      <c r="T49" s="577">
        <v>8250</v>
      </c>
      <c r="U49" s="577">
        <v>4045.17</v>
      </c>
      <c r="V49" s="200"/>
      <c r="W49" s="577">
        <v>27796.466395000003</v>
      </c>
      <c r="X49" s="590">
        <v>139184.64000000001</v>
      </c>
      <c r="Y49" s="577">
        <v>166981.10639500001</v>
      </c>
      <c r="Z49" s="577">
        <v>-82592.816395000016</v>
      </c>
      <c r="AA49" s="375">
        <f t="shared" si="0"/>
        <v>0</v>
      </c>
    </row>
    <row r="50" spans="3:27" ht="15">
      <c r="C50" s="415">
        <v>44</v>
      </c>
      <c r="D50" s="415">
        <v>270</v>
      </c>
      <c r="E50" s="66" t="s">
        <v>633</v>
      </c>
      <c r="F50" t="s">
        <v>1628</v>
      </c>
      <c r="G50" s="364">
        <v>-132919.501032</v>
      </c>
      <c r="H50" t="s">
        <v>2580</v>
      </c>
      <c r="K50" s="415">
        <v>44</v>
      </c>
      <c r="L50" s="415">
        <v>270</v>
      </c>
      <c r="M50" s="415"/>
      <c r="N50" s="66" t="s">
        <v>633</v>
      </c>
      <c r="O50" t="s">
        <v>2583</v>
      </c>
      <c r="P50" s="577">
        <v>89160.78</v>
      </c>
      <c r="Q50" s="577">
        <v>58728.69</v>
      </c>
      <c r="R50" s="577">
        <v>109245.05</v>
      </c>
      <c r="S50" s="577">
        <v>5560.01</v>
      </c>
      <c r="T50" s="577">
        <v>8609.56</v>
      </c>
      <c r="U50" s="577">
        <v>0</v>
      </c>
      <c r="V50" s="200"/>
      <c r="W50" s="577">
        <v>39936.971032000001</v>
      </c>
      <c r="X50" s="590">
        <v>182143.31</v>
      </c>
      <c r="Y50" s="577">
        <v>222080.281032</v>
      </c>
      <c r="Z50" s="577">
        <v>-132919.501032</v>
      </c>
      <c r="AA50" s="375">
        <f t="shared" si="0"/>
        <v>0</v>
      </c>
    </row>
    <row r="51" spans="3:27" ht="15">
      <c r="C51" s="415">
        <v>45</v>
      </c>
      <c r="D51" s="415">
        <v>289</v>
      </c>
      <c r="E51" s="66" t="s">
        <v>666</v>
      </c>
      <c r="F51" t="s">
        <v>1629</v>
      </c>
      <c r="G51" s="364">
        <v>-118063.232984</v>
      </c>
      <c r="H51" t="s">
        <v>2580</v>
      </c>
      <c r="K51" s="415">
        <v>45</v>
      </c>
      <c r="L51" s="415">
        <v>289</v>
      </c>
      <c r="M51" s="415"/>
      <c r="N51" s="66" t="s">
        <v>666</v>
      </c>
      <c r="O51" t="s">
        <v>2584</v>
      </c>
      <c r="P51" s="577">
        <v>604231.88</v>
      </c>
      <c r="Q51" s="577">
        <v>222167.13</v>
      </c>
      <c r="R51" s="577">
        <v>328286.39</v>
      </c>
      <c r="S51" s="577">
        <v>709.27</v>
      </c>
      <c r="T51" s="577">
        <v>74148.52</v>
      </c>
      <c r="U51" s="577">
        <v>16838.740000000002</v>
      </c>
      <c r="V51" s="200"/>
      <c r="W51" s="577">
        <v>80145.062984000018</v>
      </c>
      <c r="X51" s="590">
        <v>642150.05000000005</v>
      </c>
      <c r="Y51" s="577">
        <v>722295.11298400001</v>
      </c>
      <c r="Z51" s="577">
        <v>-118063.232984</v>
      </c>
      <c r="AA51" s="375">
        <f t="shared" si="0"/>
        <v>0</v>
      </c>
    </row>
    <row r="52" spans="3:27" ht="15">
      <c r="C52" s="415">
        <v>46</v>
      </c>
      <c r="D52" s="415">
        <v>266</v>
      </c>
      <c r="E52" s="66" t="s">
        <v>626</v>
      </c>
      <c r="F52" t="s">
        <v>1031</v>
      </c>
      <c r="G52" s="364">
        <v>-445534.14946600026</v>
      </c>
      <c r="H52" t="s">
        <v>2580</v>
      </c>
      <c r="K52" s="415">
        <v>46</v>
      </c>
      <c r="L52" s="415">
        <v>266</v>
      </c>
      <c r="M52" s="415"/>
      <c r="N52" s="66" t="s">
        <v>626</v>
      </c>
      <c r="O52" t="s">
        <v>1896</v>
      </c>
      <c r="P52" s="577">
        <v>1083275.93</v>
      </c>
      <c r="Q52" s="577">
        <v>613896.9</v>
      </c>
      <c r="R52" s="577">
        <v>657580.2300000001</v>
      </c>
      <c r="S52" s="577">
        <v>29644.05</v>
      </c>
      <c r="T52" s="577">
        <v>18672.780000000002</v>
      </c>
      <c r="U52" s="577">
        <v>0</v>
      </c>
      <c r="V52" s="497"/>
      <c r="W52" s="577">
        <v>209016.11946600003</v>
      </c>
      <c r="X52" s="590">
        <v>1319793.9600000002</v>
      </c>
      <c r="Y52" s="577">
        <v>1528810.0794660002</v>
      </c>
      <c r="Z52" s="577">
        <v>-445534.14946600026</v>
      </c>
      <c r="AA52" s="375">
        <f t="shared" si="0"/>
        <v>0</v>
      </c>
    </row>
    <row r="53" spans="3:27" ht="15">
      <c r="C53" s="415">
        <v>47</v>
      </c>
      <c r="D53" s="415">
        <v>218</v>
      </c>
      <c r="E53" s="66" t="s">
        <v>543</v>
      </c>
      <c r="F53" t="s">
        <v>997</v>
      </c>
      <c r="G53" s="364">
        <v>-167666.19750000001</v>
      </c>
      <c r="H53" t="s">
        <v>2580</v>
      </c>
      <c r="K53" s="415">
        <v>47</v>
      </c>
      <c r="L53" s="415">
        <v>218</v>
      </c>
      <c r="M53" s="415"/>
      <c r="N53" s="66" t="s">
        <v>543</v>
      </c>
      <c r="O53" t="s">
        <v>1853</v>
      </c>
      <c r="P53" s="577">
        <v>508112.1</v>
      </c>
      <c r="Q53" s="577">
        <v>141653.22</v>
      </c>
      <c r="R53" s="577">
        <v>326759.32</v>
      </c>
      <c r="S53" s="577">
        <v>17812.22</v>
      </c>
      <c r="T53" s="577">
        <v>84190.96</v>
      </c>
      <c r="U53" s="577">
        <v>22782.92</v>
      </c>
      <c r="V53" s="200"/>
      <c r="W53" s="577">
        <v>82579.657500000001</v>
      </c>
      <c r="X53" s="590">
        <v>593198.64</v>
      </c>
      <c r="Y53" s="577">
        <v>675778.29749999999</v>
      </c>
      <c r="Z53" s="577">
        <v>-167666.19750000001</v>
      </c>
      <c r="AA53" s="375">
        <f t="shared" si="0"/>
        <v>0</v>
      </c>
    </row>
    <row r="54" spans="3:27" ht="15">
      <c r="C54" s="415">
        <v>48</v>
      </c>
      <c r="D54" s="415">
        <v>223</v>
      </c>
      <c r="E54" s="66" t="s">
        <v>552</v>
      </c>
      <c r="F54" t="s">
        <v>1001</v>
      </c>
      <c r="G54" s="364">
        <v>-136343.15809499996</v>
      </c>
      <c r="H54" t="s">
        <v>2580</v>
      </c>
      <c r="K54" s="415">
        <v>48</v>
      </c>
      <c r="L54" s="415">
        <v>223</v>
      </c>
      <c r="M54" s="415"/>
      <c r="N54" s="66" t="s">
        <v>552</v>
      </c>
      <c r="O54" t="s">
        <v>1858</v>
      </c>
      <c r="P54" s="577">
        <v>149039.26</v>
      </c>
      <c r="Q54" s="577">
        <v>86165.48</v>
      </c>
      <c r="R54" s="577">
        <v>125737.32999999999</v>
      </c>
      <c r="S54" s="577">
        <v>9108.08</v>
      </c>
      <c r="T54" s="577">
        <v>28219.94</v>
      </c>
      <c r="U54" s="577">
        <v>0</v>
      </c>
      <c r="V54" s="200"/>
      <c r="W54" s="577">
        <v>36151.588094999999</v>
      </c>
      <c r="X54" s="590">
        <v>249230.83</v>
      </c>
      <c r="Y54" s="577">
        <v>285382.41809499997</v>
      </c>
      <c r="Z54" s="577">
        <v>-136343.15809499996</v>
      </c>
      <c r="AA54" s="375">
        <f t="shared" si="0"/>
        <v>0</v>
      </c>
    </row>
    <row r="55" spans="3:27" ht="15">
      <c r="C55" s="415">
        <v>49</v>
      </c>
      <c r="D55" s="415">
        <v>84</v>
      </c>
      <c r="E55" s="66" t="s">
        <v>312</v>
      </c>
      <c r="F55" t="s">
        <v>894</v>
      </c>
      <c r="G55" s="364">
        <v>-37388.010084000009</v>
      </c>
      <c r="H55" t="s">
        <v>2580</v>
      </c>
      <c r="K55" s="415">
        <v>49</v>
      </c>
      <c r="L55" s="415">
        <v>84</v>
      </c>
      <c r="M55" s="415"/>
      <c r="N55" s="66" t="s">
        <v>312</v>
      </c>
      <c r="O55" t="s">
        <v>1736</v>
      </c>
      <c r="P55" s="577">
        <v>125681.15</v>
      </c>
      <c r="Q55" s="577">
        <v>59060.32</v>
      </c>
      <c r="R55" s="577">
        <v>84105.2</v>
      </c>
      <c r="S55" s="577">
        <v>3088.28</v>
      </c>
      <c r="T55" s="577">
        <v>1763.79</v>
      </c>
      <c r="U55" s="577">
        <v>0</v>
      </c>
      <c r="V55" s="200"/>
      <c r="W55" s="577">
        <v>15051.570083999997</v>
      </c>
      <c r="X55" s="590">
        <v>148017.59</v>
      </c>
      <c r="Y55" s="577">
        <v>163069.160084</v>
      </c>
      <c r="Z55" s="577">
        <v>-37388.010084000009</v>
      </c>
      <c r="AA55" s="375">
        <f t="shared" si="0"/>
        <v>0</v>
      </c>
    </row>
    <row r="56" spans="3:27" ht="15">
      <c r="C56" s="415">
        <v>50</v>
      </c>
      <c r="D56" s="415">
        <v>69</v>
      </c>
      <c r="E56" s="66" t="s">
        <v>283</v>
      </c>
      <c r="F56" t="s">
        <v>284</v>
      </c>
      <c r="G56" s="364">
        <v>-86934.44990800001</v>
      </c>
      <c r="H56" t="s">
        <v>2580</v>
      </c>
      <c r="K56" s="415">
        <v>50</v>
      </c>
      <c r="L56" s="415">
        <v>69</v>
      </c>
      <c r="M56" s="415"/>
      <c r="N56" s="66" t="s">
        <v>283</v>
      </c>
      <c r="O56" t="s">
        <v>1721</v>
      </c>
      <c r="P56" s="577">
        <v>130880.06</v>
      </c>
      <c r="Q56" s="577">
        <v>77933.850000000006</v>
      </c>
      <c r="R56" s="577">
        <v>109331.91</v>
      </c>
      <c r="S56" s="577">
        <v>4259.1099999999997</v>
      </c>
      <c r="T56" s="577">
        <v>560</v>
      </c>
      <c r="U56" s="577">
        <v>0</v>
      </c>
      <c r="V56" s="200"/>
      <c r="W56" s="577">
        <v>25729.639908000001</v>
      </c>
      <c r="X56" s="590">
        <v>192084.87</v>
      </c>
      <c r="Y56" s="577">
        <v>217814.50990800001</v>
      </c>
      <c r="Z56" s="577">
        <v>-86934.44990800001</v>
      </c>
      <c r="AA56" s="375">
        <f t="shared" si="0"/>
        <v>0</v>
      </c>
    </row>
    <row r="57" spans="3:27" ht="15">
      <c r="C57" s="415">
        <v>51</v>
      </c>
      <c r="D57" s="415">
        <v>90</v>
      </c>
      <c r="E57" s="66" t="s">
        <v>324</v>
      </c>
      <c r="F57" t="s">
        <v>900</v>
      </c>
      <c r="G57" s="364">
        <v>-376709.05195200013</v>
      </c>
      <c r="H57" t="s">
        <v>2580</v>
      </c>
      <c r="K57" s="415">
        <v>51</v>
      </c>
      <c r="L57" s="415">
        <v>90</v>
      </c>
      <c r="M57" s="415"/>
      <c r="N57" s="66" t="s">
        <v>324</v>
      </c>
      <c r="O57" t="s">
        <v>1742</v>
      </c>
      <c r="P57" s="577">
        <v>658527.52</v>
      </c>
      <c r="Q57" s="577">
        <v>248667.79</v>
      </c>
      <c r="R57" s="577">
        <v>631788.06000000006</v>
      </c>
      <c r="S57" s="577">
        <v>9781.92</v>
      </c>
      <c r="T57" s="577">
        <v>3581.58</v>
      </c>
      <c r="U57" s="577">
        <v>0</v>
      </c>
      <c r="V57" s="200"/>
      <c r="W57" s="577">
        <v>141417.22195200002</v>
      </c>
      <c r="X57" s="590">
        <v>893819.35000000009</v>
      </c>
      <c r="Y57" s="577">
        <v>1035236.5719520001</v>
      </c>
      <c r="Z57" s="577">
        <v>-376709.05195200013</v>
      </c>
      <c r="AA57" s="375">
        <f t="shared" si="0"/>
        <v>0</v>
      </c>
    </row>
    <row r="58" spans="3:27" ht="15">
      <c r="C58" s="415">
        <v>52</v>
      </c>
      <c r="D58" s="415">
        <v>24</v>
      </c>
      <c r="E58" s="66" t="s">
        <v>205</v>
      </c>
      <c r="F58" t="s">
        <v>845</v>
      </c>
      <c r="G58" s="364">
        <v>-101907.72308400003</v>
      </c>
      <c r="H58" t="s">
        <v>2580</v>
      </c>
      <c r="K58" s="415">
        <v>52</v>
      </c>
      <c r="L58" s="415">
        <v>24</v>
      </c>
      <c r="M58" s="415"/>
      <c r="N58" s="66" t="s">
        <v>205</v>
      </c>
      <c r="O58" t="s">
        <v>1680</v>
      </c>
      <c r="P58" s="577">
        <v>152558.84</v>
      </c>
      <c r="Q58" s="577">
        <v>80933.87</v>
      </c>
      <c r="R58" s="577">
        <v>139489.07</v>
      </c>
      <c r="S58" s="577">
        <v>7174.95</v>
      </c>
      <c r="T58" s="577">
        <v>1124</v>
      </c>
      <c r="U58" s="577">
        <v>0</v>
      </c>
      <c r="V58" s="200"/>
      <c r="W58" s="577">
        <v>25744.673084000002</v>
      </c>
      <c r="X58" s="590">
        <v>228721.89</v>
      </c>
      <c r="Y58" s="577">
        <v>254466.56308400002</v>
      </c>
      <c r="Z58" s="577">
        <v>-101907.72308400003</v>
      </c>
      <c r="AA58" s="375">
        <f t="shared" si="0"/>
        <v>0</v>
      </c>
    </row>
    <row r="59" spans="3:27" ht="15">
      <c r="C59" s="415">
        <v>53</v>
      </c>
      <c r="D59" s="415">
        <v>166</v>
      </c>
      <c r="E59" s="66" t="s">
        <v>448</v>
      </c>
      <c r="F59" t="s">
        <v>953</v>
      </c>
      <c r="G59" s="364">
        <v>-108361.43765400002</v>
      </c>
      <c r="H59" t="s">
        <v>2580</v>
      </c>
      <c r="K59" s="415">
        <v>53</v>
      </c>
      <c r="L59" s="415">
        <v>166</v>
      </c>
      <c r="M59" s="415"/>
      <c r="N59" s="66" t="s">
        <v>448</v>
      </c>
      <c r="O59" t="s">
        <v>1807</v>
      </c>
      <c r="P59" s="577">
        <v>75198.460000000006</v>
      </c>
      <c r="Q59" s="577">
        <v>65754.960000000006</v>
      </c>
      <c r="R59" s="577">
        <v>79909.070000000007</v>
      </c>
      <c r="S59" s="577">
        <v>1101.1099999999999</v>
      </c>
      <c r="T59" s="577">
        <v>4960</v>
      </c>
      <c r="U59" s="577">
        <v>0</v>
      </c>
      <c r="V59" s="200"/>
      <c r="W59" s="577">
        <v>31834.757654000005</v>
      </c>
      <c r="X59" s="590">
        <v>151725.14000000001</v>
      </c>
      <c r="Y59" s="577">
        <v>183559.89765400003</v>
      </c>
      <c r="Z59" s="577">
        <v>-108361.43765400002</v>
      </c>
      <c r="AA59" s="375">
        <f t="shared" si="0"/>
        <v>0</v>
      </c>
    </row>
    <row r="60" spans="3:27" ht="15">
      <c r="C60" s="415">
        <v>54</v>
      </c>
      <c r="D60" s="415">
        <v>56</v>
      </c>
      <c r="E60" s="66" t="s">
        <v>259</v>
      </c>
      <c r="F60" t="s">
        <v>870</v>
      </c>
      <c r="G60" s="364">
        <v>-98185.982267999963</v>
      </c>
      <c r="H60" t="s">
        <v>2580</v>
      </c>
      <c r="K60" s="415">
        <v>54</v>
      </c>
      <c r="L60" s="415">
        <v>56</v>
      </c>
      <c r="M60" s="415"/>
      <c r="N60" s="66" t="s">
        <v>259</v>
      </c>
      <c r="O60" t="s">
        <v>1709</v>
      </c>
      <c r="P60" s="577">
        <v>198855.82</v>
      </c>
      <c r="Q60" s="577">
        <v>101167.45</v>
      </c>
      <c r="R60" s="577">
        <v>139418.87999999998</v>
      </c>
      <c r="S60" s="577">
        <v>3032.47</v>
      </c>
      <c r="T60" s="577">
        <v>10229.57</v>
      </c>
      <c r="U60" s="577">
        <v>0</v>
      </c>
      <c r="V60" s="200"/>
      <c r="W60" s="577">
        <v>43193.43226799999</v>
      </c>
      <c r="X60" s="590">
        <v>253848.36999999997</v>
      </c>
      <c r="Y60" s="577">
        <v>297041.80226799997</v>
      </c>
      <c r="Z60" s="577">
        <v>-98185.982267999963</v>
      </c>
      <c r="AA60" s="375">
        <f t="shared" si="0"/>
        <v>0</v>
      </c>
    </row>
    <row r="61" spans="3:27" ht="15">
      <c r="C61" s="415">
        <v>55</v>
      </c>
      <c r="D61" s="415">
        <v>194</v>
      </c>
      <c r="E61" s="66" t="s">
        <v>501</v>
      </c>
      <c r="F61" t="s">
        <v>980</v>
      </c>
      <c r="G61" s="364">
        <v>-135970.02690600001</v>
      </c>
      <c r="H61" t="s">
        <v>2580</v>
      </c>
      <c r="K61" s="415">
        <v>55</v>
      </c>
      <c r="L61" s="415">
        <v>194</v>
      </c>
      <c r="M61" s="415"/>
      <c r="N61" s="66" t="s">
        <v>501</v>
      </c>
      <c r="O61" t="s">
        <v>1833</v>
      </c>
      <c r="P61" s="577">
        <v>186469.66</v>
      </c>
      <c r="Q61" s="577">
        <v>75421.38</v>
      </c>
      <c r="R61" s="577">
        <v>150017.20000000001</v>
      </c>
      <c r="S61" s="577">
        <v>5179.7700000000004</v>
      </c>
      <c r="T61" s="577">
        <v>180</v>
      </c>
      <c r="U61" s="577">
        <v>0</v>
      </c>
      <c r="V61" s="200"/>
      <c r="W61" s="577">
        <v>91641.336905999997</v>
      </c>
      <c r="X61" s="590">
        <v>230798.35</v>
      </c>
      <c r="Y61" s="577">
        <v>322439.68690600002</v>
      </c>
      <c r="Z61" s="577">
        <v>-135970.02690600001</v>
      </c>
      <c r="AA61" s="375">
        <f t="shared" si="0"/>
        <v>0</v>
      </c>
    </row>
    <row r="62" spans="3:27" ht="15">
      <c r="C62" s="415">
        <v>56</v>
      </c>
      <c r="D62" s="415">
        <v>134</v>
      </c>
      <c r="E62" s="339" t="s">
        <v>384</v>
      </c>
      <c r="F62" s="340" t="s">
        <v>385</v>
      </c>
      <c r="G62" s="364"/>
      <c r="H62" t="s">
        <v>2580</v>
      </c>
      <c r="K62" s="415">
        <v>56</v>
      </c>
      <c r="L62" s="415">
        <v>134</v>
      </c>
      <c r="M62" s="415"/>
      <c r="N62" s="339" t="s">
        <v>384</v>
      </c>
      <c r="O62" s="340" t="s">
        <v>385</v>
      </c>
      <c r="P62" s="577"/>
      <c r="Q62" s="577"/>
      <c r="R62" s="577"/>
      <c r="S62" s="577"/>
      <c r="T62" s="577"/>
      <c r="U62" s="577"/>
      <c r="V62" s="200"/>
      <c r="W62" s="577"/>
      <c r="X62" s="590"/>
      <c r="Y62" s="577"/>
      <c r="Z62" s="577"/>
      <c r="AA62" s="375">
        <f t="shared" si="0"/>
        <v>0</v>
      </c>
    </row>
    <row r="63" spans="3:27" ht="15">
      <c r="C63" s="415">
        <v>57</v>
      </c>
      <c r="D63" s="415">
        <v>241</v>
      </c>
      <c r="E63" s="66" t="s">
        <v>586</v>
      </c>
      <c r="F63" t="s">
        <v>1015</v>
      </c>
      <c r="G63" s="364">
        <v>-163612.31780823693</v>
      </c>
      <c r="H63" t="s">
        <v>2580</v>
      </c>
      <c r="K63" s="415">
        <v>57</v>
      </c>
      <c r="L63" s="415">
        <v>241</v>
      </c>
      <c r="M63" s="415"/>
      <c r="N63" s="66" t="s">
        <v>586</v>
      </c>
      <c r="O63" t="s">
        <v>1875</v>
      </c>
      <c r="P63" s="577">
        <v>493622</v>
      </c>
      <c r="Q63" s="577">
        <v>272212.77382525092</v>
      </c>
      <c r="R63" s="577">
        <v>270379.3727517837</v>
      </c>
      <c r="S63" s="577">
        <v>15634.723633273883</v>
      </c>
      <c r="T63" s="577">
        <v>29293.039789691498</v>
      </c>
      <c r="U63" s="577">
        <v>0</v>
      </c>
      <c r="V63" s="200"/>
      <c r="W63" s="577">
        <v>69714.407808237011</v>
      </c>
      <c r="X63" s="590">
        <v>587519.90999999992</v>
      </c>
      <c r="Y63" s="577">
        <v>657234.31780823693</v>
      </c>
      <c r="Z63" s="577">
        <v>-163612.31780823693</v>
      </c>
      <c r="AA63" s="375">
        <f t="shared" si="0"/>
        <v>0</v>
      </c>
    </row>
    <row r="64" spans="3:27" ht="15">
      <c r="C64" s="415">
        <v>58</v>
      </c>
      <c r="D64" s="415">
        <v>170</v>
      </c>
      <c r="E64" s="66" t="s">
        <v>456</v>
      </c>
      <c r="F64" t="s">
        <v>957</v>
      </c>
      <c r="G64" s="364">
        <v>-99039.017744000012</v>
      </c>
      <c r="H64" t="s">
        <v>2580</v>
      </c>
      <c r="K64" s="415">
        <v>58</v>
      </c>
      <c r="L64" s="415">
        <v>170</v>
      </c>
      <c r="M64" s="415"/>
      <c r="N64" s="66" t="s">
        <v>456</v>
      </c>
      <c r="O64" t="s">
        <v>1811</v>
      </c>
      <c r="P64" s="577">
        <v>365385.76</v>
      </c>
      <c r="Q64" s="577">
        <v>252326.29</v>
      </c>
      <c r="R64" s="577">
        <v>171949.08000000002</v>
      </c>
      <c r="S64" s="577">
        <v>435.55</v>
      </c>
      <c r="T64" s="577">
        <v>4836.7</v>
      </c>
      <c r="U64" s="577">
        <v>0</v>
      </c>
      <c r="V64" s="200"/>
      <c r="W64" s="577">
        <v>34877.157744000004</v>
      </c>
      <c r="X64" s="590">
        <v>429547.62</v>
      </c>
      <c r="Y64" s="577">
        <v>464424.77774400002</v>
      </c>
      <c r="Z64" s="577">
        <v>-99039.017744000012</v>
      </c>
      <c r="AA64" s="375">
        <f t="shared" si="0"/>
        <v>0</v>
      </c>
    </row>
    <row r="65" spans="3:27" ht="15">
      <c r="C65" s="415">
        <v>59</v>
      </c>
      <c r="D65" s="415">
        <v>41</v>
      </c>
      <c r="E65" s="66" t="s">
        <v>229</v>
      </c>
      <c r="F65" t="s">
        <v>856</v>
      </c>
      <c r="G65" s="364">
        <v>-106009.92219899991</v>
      </c>
      <c r="H65" t="s">
        <v>2580</v>
      </c>
      <c r="K65" s="415">
        <v>59</v>
      </c>
      <c r="L65" s="415">
        <v>41</v>
      </c>
      <c r="M65" s="415"/>
      <c r="N65" s="66" t="s">
        <v>229</v>
      </c>
      <c r="O65" t="s">
        <v>1694</v>
      </c>
      <c r="P65" s="577">
        <v>249539.32</v>
      </c>
      <c r="Q65" s="577">
        <v>145008.78</v>
      </c>
      <c r="R65" s="577">
        <v>162306.54999999999</v>
      </c>
      <c r="S65" s="577">
        <v>9367.5499999999993</v>
      </c>
      <c r="T65" s="577">
        <v>1453.49</v>
      </c>
      <c r="U65" s="577">
        <v>0</v>
      </c>
      <c r="V65" s="200"/>
      <c r="W65" s="577">
        <v>37412.87219899999</v>
      </c>
      <c r="X65" s="590">
        <v>318136.36999999994</v>
      </c>
      <c r="Y65" s="577">
        <v>355549.24219899991</v>
      </c>
      <c r="Z65" s="577">
        <v>-106009.92219899991</v>
      </c>
      <c r="AA65" s="375">
        <f t="shared" si="0"/>
        <v>0</v>
      </c>
    </row>
    <row r="66" spans="3:27" ht="15">
      <c r="C66" s="415">
        <v>60</v>
      </c>
      <c r="D66" s="415">
        <v>256</v>
      </c>
      <c r="E66" s="66" t="s">
        <v>614</v>
      </c>
      <c r="F66" t="s">
        <v>1025</v>
      </c>
      <c r="G66" s="364">
        <v>-57841.018718000269</v>
      </c>
      <c r="H66" t="s">
        <v>2580</v>
      </c>
      <c r="K66" s="415">
        <v>60</v>
      </c>
      <c r="L66" s="415">
        <v>256</v>
      </c>
      <c r="M66" s="415"/>
      <c r="N66" s="66" t="s">
        <v>614</v>
      </c>
      <c r="O66" t="s">
        <v>1890</v>
      </c>
      <c r="P66" s="577">
        <v>1338943.71</v>
      </c>
      <c r="Q66" s="577">
        <v>495333.46</v>
      </c>
      <c r="R66" s="577">
        <v>611612.79</v>
      </c>
      <c r="S66" s="577">
        <v>12363.32</v>
      </c>
      <c r="T66" s="577">
        <v>136678.07000000004</v>
      </c>
      <c r="U66" s="577">
        <v>0</v>
      </c>
      <c r="V66" s="200"/>
      <c r="W66" s="577">
        <v>140797.08871800001</v>
      </c>
      <c r="X66" s="590">
        <v>1255987.6400000001</v>
      </c>
      <c r="Y66" s="577">
        <v>1396784.7287180002</v>
      </c>
      <c r="Z66" s="577">
        <v>-57841.018718000269</v>
      </c>
      <c r="AA66" s="375">
        <f t="shared" si="0"/>
        <v>0</v>
      </c>
    </row>
    <row r="67" spans="3:27" ht="15">
      <c r="C67" s="415">
        <v>61</v>
      </c>
      <c r="D67" s="415">
        <v>202</v>
      </c>
      <c r="E67" s="66" t="s">
        <v>517</v>
      </c>
      <c r="F67" t="s">
        <v>988</v>
      </c>
      <c r="G67" s="364">
        <v>-341514.97202999995</v>
      </c>
      <c r="H67" t="s">
        <v>2580</v>
      </c>
      <c r="K67" s="415">
        <v>61</v>
      </c>
      <c r="L67" s="415">
        <v>202</v>
      </c>
      <c r="M67" s="415"/>
      <c r="N67" s="66" t="s">
        <v>517</v>
      </c>
      <c r="O67" t="s">
        <v>1840</v>
      </c>
      <c r="P67" s="577">
        <v>550672.41</v>
      </c>
      <c r="Q67" s="577">
        <v>240528.11</v>
      </c>
      <c r="R67" s="577">
        <v>506640.35000000003</v>
      </c>
      <c r="S67" s="577">
        <v>29314.15</v>
      </c>
      <c r="T67" s="577">
        <v>13510.15</v>
      </c>
      <c r="U67" s="577">
        <v>6477.88</v>
      </c>
      <c r="V67" s="200"/>
      <c r="W67" s="577">
        <v>95716.742029999994</v>
      </c>
      <c r="X67" s="590">
        <v>796470.64</v>
      </c>
      <c r="Y67" s="577">
        <v>892187.38202999998</v>
      </c>
      <c r="Z67" s="577">
        <v>-341514.97202999995</v>
      </c>
      <c r="AA67" s="375">
        <f t="shared" si="0"/>
        <v>0</v>
      </c>
    </row>
    <row r="68" spans="3:27" ht="15">
      <c r="C68" s="415">
        <v>62</v>
      </c>
      <c r="D68" s="415">
        <v>285</v>
      </c>
      <c r="E68" s="66" t="s">
        <v>658</v>
      </c>
      <c r="F68" t="s">
        <v>1046</v>
      </c>
      <c r="G68" s="364">
        <v>-73574.776527000009</v>
      </c>
      <c r="H68" t="s">
        <v>2580</v>
      </c>
      <c r="K68" s="415">
        <v>62</v>
      </c>
      <c r="L68" s="415">
        <v>285</v>
      </c>
      <c r="M68" s="415"/>
      <c r="N68" s="66" t="s">
        <v>658</v>
      </c>
      <c r="O68" t="s">
        <v>1914</v>
      </c>
      <c r="P68" s="577">
        <v>7303.66</v>
      </c>
      <c r="Q68" s="577">
        <v>13497.42</v>
      </c>
      <c r="R68" s="577">
        <v>48068.770000000004</v>
      </c>
      <c r="S68" s="577">
        <v>0</v>
      </c>
      <c r="T68" s="577">
        <v>3394.62</v>
      </c>
      <c r="U68" s="577">
        <v>0</v>
      </c>
      <c r="V68" s="497"/>
      <c r="W68" s="577">
        <v>15917.626527000002</v>
      </c>
      <c r="X68" s="590">
        <v>64960.810000000005</v>
      </c>
      <c r="Y68" s="577">
        <v>80878.436527000013</v>
      </c>
      <c r="Z68" s="577">
        <v>-73574.776527000009</v>
      </c>
      <c r="AA68" s="375">
        <f t="shared" si="0"/>
        <v>0</v>
      </c>
    </row>
    <row r="69" spans="3:27" ht="15">
      <c r="C69" s="415">
        <v>63</v>
      </c>
      <c r="D69" s="415">
        <v>317</v>
      </c>
      <c r="E69" s="66" t="s">
        <v>717</v>
      </c>
      <c r="F69" t="s">
        <v>1630</v>
      </c>
      <c r="G69" s="364">
        <v>342926.59736399958</v>
      </c>
      <c r="H69" t="s">
        <v>2580</v>
      </c>
      <c r="K69" s="415">
        <v>63</v>
      </c>
      <c r="L69" s="415">
        <v>253</v>
      </c>
      <c r="M69" s="415"/>
      <c r="N69" s="66" t="s">
        <v>717</v>
      </c>
      <c r="O69" t="s">
        <v>2586</v>
      </c>
      <c r="P69" s="577">
        <v>3076315.26</v>
      </c>
      <c r="Q69" s="577">
        <v>1160976.23</v>
      </c>
      <c r="R69" s="577">
        <v>1168142.47</v>
      </c>
      <c r="S69" s="577">
        <v>69506.75</v>
      </c>
      <c r="T69" s="577">
        <v>51109.150000000009</v>
      </c>
      <c r="U69" s="577">
        <v>73844.2</v>
      </c>
      <c r="V69" s="200"/>
      <c r="W69" s="577">
        <v>209809.86263599998</v>
      </c>
      <c r="X69" s="590">
        <v>2523578.8000000003</v>
      </c>
      <c r="Y69" s="577">
        <v>2733388.6626360002</v>
      </c>
      <c r="Z69" s="577">
        <v>342926.59736399958</v>
      </c>
      <c r="AA69" s="375">
        <f t="shared" si="0"/>
        <v>0</v>
      </c>
    </row>
    <row r="70" spans="3:27" ht="15">
      <c r="C70" s="415">
        <v>64</v>
      </c>
      <c r="D70" s="415">
        <v>253</v>
      </c>
      <c r="E70" s="66" t="s">
        <v>610</v>
      </c>
      <c r="F70" t="s">
        <v>1623</v>
      </c>
      <c r="G70" s="364">
        <v>-459064.04399200063</v>
      </c>
      <c r="H70" t="s">
        <v>2580</v>
      </c>
      <c r="K70" s="415">
        <v>64</v>
      </c>
      <c r="L70" s="415">
        <v>317</v>
      </c>
      <c r="M70" s="415"/>
      <c r="N70" s="66" t="s">
        <v>610</v>
      </c>
      <c r="O70" t="s">
        <v>2585</v>
      </c>
      <c r="P70" s="577">
        <v>2837928.9</v>
      </c>
      <c r="Q70" s="577">
        <v>1343471.32</v>
      </c>
      <c r="R70" s="577">
        <v>1548131.96</v>
      </c>
      <c r="S70" s="577">
        <v>102771.95</v>
      </c>
      <c r="T70" s="577">
        <v>6870.72</v>
      </c>
      <c r="U70" s="577">
        <v>0</v>
      </c>
      <c r="V70" s="200"/>
      <c r="W70" s="577">
        <v>295746.993992</v>
      </c>
      <c r="X70" s="590">
        <v>3001245.9500000007</v>
      </c>
      <c r="Y70" s="577">
        <v>3296992.9439920005</v>
      </c>
      <c r="Z70" s="577">
        <v>-459064.04399200063</v>
      </c>
      <c r="AA70" s="375">
        <f t="shared" si="0"/>
        <v>0</v>
      </c>
    </row>
    <row r="71" spans="3:27" ht="15">
      <c r="C71" s="415">
        <v>65</v>
      </c>
      <c r="D71" s="415">
        <v>52</v>
      </c>
      <c r="E71" s="66" t="s">
        <v>251</v>
      </c>
      <c r="F71" t="s">
        <v>866</v>
      </c>
      <c r="G71" s="364">
        <v>133062.64306499995</v>
      </c>
      <c r="H71" t="s">
        <v>2580</v>
      </c>
      <c r="K71" s="415">
        <v>65</v>
      </c>
      <c r="L71" s="415">
        <v>52</v>
      </c>
      <c r="M71" s="415"/>
      <c r="N71" s="66" t="s">
        <v>251</v>
      </c>
      <c r="O71" t="s">
        <v>1705</v>
      </c>
      <c r="P71" s="577">
        <v>4089723.1</v>
      </c>
      <c r="Q71" s="577">
        <v>1451658.84</v>
      </c>
      <c r="R71" s="577">
        <v>1835587.23</v>
      </c>
      <c r="S71" s="577">
        <v>236705.05</v>
      </c>
      <c r="T71" s="577">
        <v>121421.36999999994</v>
      </c>
      <c r="U71" s="577">
        <v>0</v>
      </c>
      <c r="V71" s="200"/>
      <c r="W71" s="577">
        <v>311287.96693499997</v>
      </c>
      <c r="X71" s="590">
        <v>3645372.49</v>
      </c>
      <c r="Y71" s="577">
        <v>3956660.4569350001</v>
      </c>
      <c r="Z71" s="577">
        <v>133062.64306499995</v>
      </c>
      <c r="AA71" s="375">
        <f t="shared" si="0"/>
        <v>0</v>
      </c>
    </row>
    <row r="72" spans="3:27" ht="15">
      <c r="C72" s="415">
        <v>66</v>
      </c>
      <c r="D72" s="415">
        <v>135</v>
      </c>
      <c r="E72" s="66" t="s">
        <v>386</v>
      </c>
      <c r="F72" t="s">
        <v>929</v>
      </c>
      <c r="G72" s="364">
        <v>-106932.79168800001</v>
      </c>
      <c r="H72" t="s">
        <v>2580</v>
      </c>
      <c r="K72" s="415">
        <v>66</v>
      </c>
      <c r="L72" s="415">
        <v>135</v>
      </c>
      <c r="M72" s="415"/>
      <c r="N72" s="66" t="s">
        <v>386</v>
      </c>
      <c r="O72" t="s">
        <v>1776</v>
      </c>
      <c r="P72" s="577">
        <v>66397.83</v>
      </c>
      <c r="Q72" s="577">
        <v>33381.81</v>
      </c>
      <c r="R72" s="577">
        <v>94135.84</v>
      </c>
      <c r="S72" s="577">
        <v>2403.3200000000002</v>
      </c>
      <c r="T72" s="577">
        <v>7620.42</v>
      </c>
      <c r="U72" s="577">
        <v>0</v>
      </c>
      <c r="V72" s="200"/>
      <c r="W72" s="577">
        <v>35789.231688</v>
      </c>
      <c r="X72" s="590">
        <v>137541.39000000001</v>
      </c>
      <c r="Y72" s="577">
        <v>173330.62168800001</v>
      </c>
      <c r="Z72" s="577">
        <v>-106932.79168800001</v>
      </c>
      <c r="AA72" s="375">
        <f t="shared" ref="AA72:AA135" si="1">+G72-Z72</f>
        <v>0</v>
      </c>
    </row>
    <row r="73" spans="3:27" ht="15">
      <c r="C73" s="415">
        <v>67</v>
      </c>
      <c r="D73" s="415">
        <v>208</v>
      </c>
      <c r="E73" s="66" t="s">
        <v>529</v>
      </c>
      <c r="F73" t="s">
        <v>994</v>
      </c>
      <c r="G73" s="364">
        <v>-285328.85583799984</v>
      </c>
      <c r="H73" t="s">
        <v>2580</v>
      </c>
      <c r="K73" s="415">
        <v>67</v>
      </c>
      <c r="L73" s="415">
        <v>208</v>
      </c>
      <c r="M73" s="415"/>
      <c r="N73" s="66" t="s">
        <v>529</v>
      </c>
      <c r="O73" t="s">
        <v>1846</v>
      </c>
      <c r="P73" s="577">
        <v>1174295.93</v>
      </c>
      <c r="Q73" s="577">
        <v>541260.68999999994</v>
      </c>
      <c r="R73" s="577">
        <v>754026.04999999993</v>
      </c>
      <c r="S73" s="577">
        <v>29713.67</v>
      </c>
      <c r="T73" s="577">
        <v>19447.350000000002</v>
      </c>
      <c r="U73" s="577">
        <v>0</v>
      </c>
      <c r="V73" s="497"/>
      <c r="W73" s="577">
        <v>115177.02583799999</v>
      </c>
      <c r="X73" s="590">
        <v>1344447.7599999998</v>
      </c>
      <c r="Y73" s="577">
        <v>1459624.7858379998</v>
      </c>
      <c r="Z73" s="577">
        <v>-285328.85583799984</v>
      </c>
      <c r="AA73" s="375">
        <f t="shared" si="1"/>
        <v>0</v>
      </c>
    </row>
    <row r="74" spans="3:27" ht="15">
      <c r="C74" s="415">
        <v>68</v>
      </c>
      <c r="D74" s="415">
        <v>233</v>
      </c>
      <c r="E74" s="66" t="s">
        <v>570</v>
      </c>
      <c r="F74" t="s">
        <v>1007</v>
      </c>
      <c r="G74" s="364">
        <v>-312322.42861518264</v>
      </c>
      <c r="H74" t="s">
        <v>2580</v>
      </c>
      <c r="K74" s="415">
        <v>68</v>
      </c>
      <c r="L74" s="415">
        <v>233</v>
      </c>
      <c r="M74" s="415"/>
      <c r="N74" s="66" t="s">
        <v>570</v>
      </c>
      <c r="O74" t="s">
        <v>1867</v>
      </c>
      <c r="P74" s="577">
        <v>9220690.1999999993</v>
      </c>
      <c r="Q74" s="577">
        <v>3536054.2970239203</v>
      </c>
      <c r="R74" s="577">
        <v>4803599.8482691059</v>
      </c>
      <c r="S74" s="577">
        <v>170973.73200397359</v>
      </c>
      <c r="T74" s="577">
        <v>230389.6988398573</v>
      </c>
      <c r="U74" s="577">
        <v>83079.053863143083</v>
      </c>
      <c r="V74" s="200"/>
      <c r="W74" s="577">
        <v>708915.99861518189</v>
      </c>
      <c r="X74" s="590">
        <v>8824096.6300000008</v>
      </c>
      <c r="Y74" s="577">
        <v>9533012.6286151819</v>
      </c>
      <c r="Z74" s="577">
        <v>-312322.42861518264</v>
      </c>
      <c r="AA74" s="375">
        <f t="shared" si="1"/>
        <v>0</v>
      </c>
    </row>
    <row r="75" spans="3:27" ht="15">
      <c r="C75" s="415">
        <v>69</v>
      </c>
      <c r="D75" s="415">
        <v>137</v>
      </c>
      <c r="E75" s="66" t="s">
        <v>390</v>
      </c>
      <c r="F75" t="s">
        <v>931</v>
      </c>
      <c r="G75" s="364">
        <v>-44942.31826512632</v>
      </c>
      <c r="H75" t="s">
        <v>2580</v>
      </c>
      <c r="K75" s="415">
        <v>69</v>
      </c>
      <c r="L75" s="415">
        <v>137</v>
      </c>
      <c r="M75" s="415"/>
      <c r="N75" s="66" t="s">
        <v>390</v>
      </c>
      <c r="O75" t="s">
        <v>1778</v>
      </c>
      <c r="P75" s="577">
        <v>1972477.92</v>
      </c>
      <c r="Q75" s="577">
        <v>751132.0731747729</v>
      </c>
      <c r="R75" s="577">
        <v>899493.80375218159</v>
      </c>
      <c r="S75" s="577">
        <v>110410.811830408</v>
      </c>
      <c r="T75" s="577">
        <v>21866.462734641475</v>
      </c>
      <c r="U75" s="577">
        <v>61076.368507995998</v>
      </c>
      <c r="V75" s="200"/>
      <c r="W75" s="577">
        <v>173440.71826512655</v>
      </c>
      <c r="X75" s="590">
        <v>1843979.5199999998</v>
      </c>
      <c r="Y75" s="577">
        <v>2017420.2382651262</v>
      </c>
      <c r="Z75" s="577">
        <v>-44942.31826512632</v>
      </c>
      <c r="AA75" s="375">
        <f t="shared" si="1"/>
        <v>0</v>
      </c>
    </row>
    <row r="76" spans="3:27" ht="15">
      <c r="C76" s="415">
        <v>70</v>
      </c>
      <c r="D76" s="415">
        <v>81</v>
      </c>
      <c r="E76" s="66" t="s">
        <v>307</v>
      </c>
      <c r="F76" t="s">
        <v>891</v>
      </c>
      <c r="G76" s="364">
        <v>-150512.03352289891</v>
      </c>
      <c r="H76" t="s">
        <v>2580</v>
      </c>
      <c r="K76" s="415">
        <v>70</v>
      </c>
      <c r="L76" s="415">
        <v>81</v>
      </c>
      <c r="M76" s="415"/>
      <c r="N76" s="66" t="s">
        <v>307</v>
      </c>
      <c r="O76" t="s">
        <v>1733</v>
      </c>
      <c r="P76" s="577">
        <v>1046555.15</v>
      </c>
      <c r="Q76" s="577">
        <v>434797.06145885354</v>
      </c>
      <c r="R76" s="577">
        <v>605817.30698961322</v>
      </c>
      <c r="S76" s="577">
        <v>34658.142579372899</v>
      </c>
      <c r="T76" s="577">
        <v>19898.908972160367</v>
      </c>
      <c r="U76" s="577">
        <v>0</v>
      </c>
      <c r="V76" s="200"/>
      <c r="W76" s="577">
        <v>101895.76352289888</v>
      </c>
      <c r="X76" s="590">
        <v>1095171.4200000002</v>
      </c>
      <c r="Y76" s="577">
        <v>1197067.1835228989</v>
      </c>
      <c r="Z76" s="577">
        <v>-150512.03352289891</v>
      </c>
      <c r="AA76" s="375">
        <f t="shared" si="1"/>
        <v>0</v>
      </c>
    </row>
    <row r="77" spans="3:27" ht="15">
      <c r="C77" s="415">
        <v>71</v>
      </c>
      <c r="D77" s="415">
        <v>310</v>
      </c>
      <c r="E77" s="66" t="s">
        <v>703</v>
      </c>
      <c r="F77" t="s">
        <v>1065</v>
      </c>
      <c r="G77" s="364">
        <v>-81860.553833999991</v>
      </c>
      <c r="H77" t="s">
        <v>2580</v>
      </c>
      <c r="K77" s="415">
        <v>71</v>
      </c>
      <c r="L77" s="415">
        <v>310</v>
      </c>
      <c r="M77" s="415"/>
      <c r="N77" s="66" t="s">
        <v>703</v>
      </c>
      <c r="O77" t="s">
        <v>1938</v>
      </c>
      <c r="P77" s="577">
        <v>85920.85</v>
      </c>
      <c r="Q77" s="577">
        <v>44817.14</v>
      </c>
      <c r="R77" s="577">
        <v>84230.45</v>
      </c>
      <c r="S77" s="577">
        <v>1656.92</v>
      </c>
      <c r="T77" s="577">
        <v>210</v>
      </c>
      <c r="U77" s="577">
        <v>0</v>
      </c>
      <c r="V77" s="200"/>
      <c r="W77" s="577">
        <v>36866.893834000002</v>
      </c>
      <c r="X77" s="590">
        <v>130914.51</v>
      </c>
      <c r="Y77" s="577">
        <v>167781.403834</v>
      </c>
      <c r="Z77" s="577">
        <v>-81860.553833999991</v>
      </c>
      <c r="AA77" s="375">
        <f t="shared" si="1"/>
        <v>0</v>
      </c>
    </row>
    <row r="78" spans="3:27" ht="15">
      <c r="C78" s="415">
        <v>72</v>
      </c>
      <c r="D78" s="415">
        <v>16</v>
      </c>
      <c r="E78" s="66" t="s">
        <v>193</v>
      </c>
      <c r="F78" t="s">
        <v>839</v>
      </c>
      <c r="G78" s="364">
        <v>-91737.189595999953</v>
      </c>
      <c r="H78" t="s">
        <v>2580</v>
      </c>
      <c r="K78" s="415">
        <v>72</v>
      </c>
      <c r="L78" s="415">
        <v>16</v>
      </c>
      <c r="M78" s="415"/>
      <c r="N78" s="66" t="s">
        <v>193</v>
      </c>
      <c r="O78" t="s">
        <v>1674</v>
      </c>
      <c r="P78" s="577">
        <v>362965.14</v>
      </c>
      <c r="Q78" s="577">
        <v>183369.75</v>
      </c>
      <c r="R78" s="577">
        <v>215036.69</v>
      </c>
      <c r="S78" s="577">
        <v>11116.25</v>
      </c>
      <c r="T78" s="577">
        <v>5004.4799999999996</v>
      </c>
      <c r="U78" s="577">
        <v>0</v>
      </c>
      <c r="V78" s="200"/>
      <c r="W78" s="577">
        <v>40175.159596000005</v>
      </c>
      <c r="X78" s="590">
        <v>414527.17</v>
      </c>
      <c r="Y78" s="577">
        <v>454702.32959599997</v>
      </c>
      <c r="Z78" s="577">
        <v>-91737.189595999953</v>
      </c>
      <c r="AA78" s="375">
        <f t="shared" si="1"/>
        <v>0</v>
      </c>
    </row>
    <row r="79" spans="3:27" ht="15">
      <c r="C79" s="415">
        <v>73</v>
      </c>
      <c r="D79" s="415">
        <v>99</v>
      </c>
      <c r="E79" s="66" t="s">
        <v>342</v>
      </c>
      <c r="F79" t="s">
        <v>908</v>
      </c>
      <c r="G79" s="364">
        <v>-1285151.2203545063</v>
      </c>
      <c r="H79" t="s">
        <v>2580</v>
      </c>
      <c r="K79" s="415">
        <v>73</v>
      </c>
      <c r="L79" s="415">
        <v>99</v>
      </c>
      <c r="M79" s="415"/>
      <c r="N79" s="66" t="s">
        <v>342</v>
      </c>
      <c r="O79" t="s">
        <v>1751</v>
      </c>
      <c r="P79" s="577">
        <v>2102858.64</v>
      </c>
      <c r="Q79" s="577">
        <v>1295467.8156178857</v>
      </c>
      <c r="R79" s="577">
        <v>1710490.1533812946</v>
      </c>
      <c r="S79" s="577">
        <v>109851.94203716637</v>
      </c>
      <c r="T79" s="577">
        <v>27050.89896365341</v>
      </c>
      <c r="U79" s="577">
        <v>0</v>
      </c>
      <c r="V79" s="200"/>
      <c r="W79" s="577">
        <v>245149.05035450659</v>
      </c>
      <c r="X79" s="590">
        <v>3142860.81</v>
      </c>
      <c r="Y79" s="577">
        <v>3388009.8603545064</v>
      </c>
      <c r="Z79" s="577">
        <v>-1285151.2203545063</v>
      </c>
      <c r="AA79" s="375">
        <f t="shared" si="1"/>
        <v>0</v>
      </c>
    </row>
    <row r="80" spans="3:27" ht="15">
      <c r="C80" s="415">
        <v>74</v>
      </c>
      <c r="D80" s="415">
        <v>73</v>
      </c>
      <c r="E80" s="66" t="s">
        <v>291</v>
      </c>
      <c r="F80" t="s">
        <v>884</v>
      </c>
      <c r="G80" s="364">
        <v>-139869.11361999996</v>
      </c>
      <c r="H80" t="s">
        <v>2580</v>
      </c>
      <c r="K80" s="415">
        <v>74</v>
      </c>
      <c r="L80" s="415">
        <v>73</v>
      </c>
      <c r="M80" s="415"/>
      <c r="N80" s="66" t="s">
        <v>291</v>
      </c>
      <c r="O80" t="s">
        <v>1725</v>
      </c>
      <c r="P80" s="577">
        <v>2217766.7000000002</v>
      </c>
      <c r="Q80" s="577">
        <v>899046.88</v>
      </c>
      <c r="R80" s="577">
        <v>1045444.45</v>
      </c>
      <c r="S80" s="577">
        <v>141095</v>
      </c>
      <c r="T80" s="577">
        <v>15650.449999999999</v>
      </c>
      <c r="U80" s="577">
        <v>35436.53</v>
      </c>
      <c r="V80" s="200"/>
      <c r="W80" s="577">
        <v>220962.50361999997</v>
      </c>
      <c r="X80" s="590">
        <v>2136673.31</v>
      </c>
      <c r="Y80" s="577">
        <v>2357635.8136200001</v>
      </c>
      <c r="Z80" s="577">
        <v>-139869.11361999996</v>
      </c>
      <c r="AA80" s="375">
        <f t="shared" si="1"/>
        <v>0</v>
      </c>
    </row>
    <row r="81" spans="3:27" ht="15">
      <c r="C81" s="415">
        <v>75</v>
      </c>
      <c r="D81" s="415">
        <v>38</v>
      </c>
      <c r="E81" s="343" t="s">
        <v>1500</v>
      </c>
      <c r="F81" s="344" t="s">
        <v>1582</v>
      </c>
      <c r="G81" s="364"/>
      <c r="H81" t="s">
        <v>2580</v>
      </c>
      <c r="K81" s="415">
        <v>75</v>
      </c>
      <c r="L81" s="415">
        <v>38</v>
      </c>
      <c r="M81" s="415"/>
      <c r="N81" s="343" t="s">
        <v>1500</v>
      </c>
      <c r="O81" s="344" t="s">
        <v>1582</v>
      </c>
      <c r="P81" s="577"/>
      <c r="Q81" s="577"/>
      <c r="R81" s="577"/>
      <c r="S81" s="577"/>
      <c r="T81" s="577"/>
      <c r="U81" s="577"/>
      <c r="V81" s="200"/>
      <c r="W81" s="577"/>
      <c r="X81" s="590"/>
      <c r="Y81" s="577"/>
      <c r="Z81" s="577"/>
      <c r="AA81" s="375">
        <f t="shared" si="1"/>
        <v>0</v>
      </c>
    </row>
    <row r="82" spans="3:27" ht="15">
      <c r="C82" s="415">
        <v>76</v>
      </c>
      <c r="D82" s="415">
        <v>258</v>
      </c>
      <c r="E82" s="344" t="s">
        <v>766</v>
      </c>
      <c r="F82" s="344" t="s">
        <v>1583</v>
      </c>
      <c r="G82" s="364"/>
      <c r="H82" t="s">
        <v>2580</v>
      </c>
      <c r="K82" s="415">
        <v>76</v>
      </c>
      <c r="L82" s="415">
        <v>258</v>
      </c>
      <c r="M82" s="415"/>
      <c r="N82" s="344" t="s">
        <v>766</v>
      </c>
      <c r="O82" s="344" t="s">
        <v>1583</v>
      </c>
      <c r="P82" s="577"/>
      <c r="Q82" s="577"/>
      <c r="R82" s="577"/>
      <c r="S82" s="577"/>
      <c r="T82" s="577"/>
      <c r="U82" s="577"/>
      <c r="V82" s="200"/>
      <c r="W82" s="577"/>
      <c r="X82" s="590"/>
      <c r="Y82" s="577"/>
      <c r="Z82" s="577"/>
      <c r="AA82" s="375">
        <f t="shared" si="1"/>
        <v>0</v>
      </c>
    </row>
    <row r="83" spans="3:27" ht="15">
      <c r="C83" s="415">
        <v>77</v>
      </c>
      <c r="D83" s="415">
        <v>329</v>
      </c>
      <c r="E83" s="343" t="s">
        <v>768</v>
      </c>
      <c r="F83" s="344" t="s">
        <v>1584</v>
      </c>
      <c r="G83" s="364"/>
      <c r="H83" t="s">
        <v>2580</v>
      </c>
      <c r="K83" s="415">
        <v>77</v>
      </c>
      <c r="L83" s="415">
        <v>329</v>
      </c>
      <c r="M83" s="415"/>
      <c r="N83" s="343" t="s">
        <v>768</v>
      </c>
      <c r="O83" s="344" t="s">
        <v>1584</v>
      </c>
      <c r="P83" s="577"/>
      <c r="Q83" s="577"/>
      <c r="R83" s="577"/>
      <c r="S83" s="577"/>
      <c r="T83" s="577"/>
      <c r="U83" s="577"/>
      <c r="V83" s="200"/>
      <c r="W83" s="577"/>
      <c r="X83" s="590"/>
      <c r="Y83" s="577"/>
      <c r="Z83" s="577"/>
      <c r="AA83" s="375">
        <f t="shared" si="1"/>
        <v>0</v>
      </c>
    </row>
    <row r="84" spans="3:27" ht="15">
      <c r="C84" s="415">
        <v>78</v>
      </c>
      <c r="D84" s="415">
        <v>39</v>
      </c>
      <c r="E84" s="343" t="s">
        <v>761</v>
      </c>
      <c r="F84" s="344" t="s">
        <v>1585</v>
      </c>
      <c r="G84" s="364"/>
      <c r="H84" t="s">
        <v>2580</v>
      </c>
      <c r="K84" s="415">
        <v>78</v>
      </c>
      <c r="L84" s="415">
        <v>39</v>
      </c>
      <c r="M84" s="415"/>
      <c r="N84" s="343" t="s">
        <v>761</v>
      </c>
      <c r="O84" s="344" t="s">
        <v>1585</v>
      </c>
      <c r="P84" s="577"/>
      <c r="Q84" s="577"/>
      <c r="R84" s="577"/>
      <c r="S84" s="577"/>
      <c r="T84" s="577"/>
      <c r="U84" s="577"/>
      <c r="V84" s="200"/>
      <c r="W84" s="577"/>
      <c r="X84" s="590"/>
      <c r="Y84" s="577"/>
      <c r="Z84" s="577"/>
      <c r="AA84" s="375">
        <f t="shared" si="1"/>
        <v>0</v>
      </c>
    </row>
    <row r="85" spans="3:27" ht="15">
      <c r="C85" s="415">
        <v>79</v>
      </c>
      <c r="D85" s="415">
        <v>282</v>
      </c>
      <c r="E85" s="344" t="s">
        <v>767</v>
      </c>
      <c r="F85" s="344" t="s">
        <v>1586</v>
      </c>
      <c r="G85" s="364"/>
      <c r="H85" t="s">
        <v>2580</v>
      </c>
      <c r="K85" s="415">
        <v>79</v>
      </c>
      <c r="L85" s="415">
        <v>282</v>
      </c>
      <c r="M85" s="415"/>
      <c r="N85" s="344" t="s">
        <v>767</v>
      </c>
      <c r="O85" s="344" t="s">
        <v>1586</v>
      </c>
      <c r="P85" s="577"/>
      <c r="Q85" s="577"/>
      <c r="R85" s="577"/>
      <c r="S85" s="577"/>
      <c r="T85" s="577"/>
      <c r="U85" s="577"/>
      <c r="V85" s="200"/>
      <c r="W85" s="577"/>
      <c r="X85" s="590"/>
      <c r="Y85" s="577"/>
      <c r="Z85" s="577"/>
      <c r="AA85" s="375">
        <f t="shared" si="1"/>
        <v>0</v>
      </c>
    </row>
    <row r="86" spans="3:27" ht="15">
      <c r="C86" s="415">
        <v>80</v>
      </c>
      <c r="D86" s="415">
        <v>131</v>
      </c>
      <c r="E86" s="343" t="s">
        <v>764</v>
      </c>
      <c r="F86" s="344" t="s">
        <v>1601</v>
      </c>
      <c r="G86" s="364"/>
      <c r="H86" t="s">
        <v>2580</v>
      </c>
      <c r="K86" s="415">
        <v>80</v>
      </c>
      <c r="L86" s="415">
        <v>131</v>
      </c>
      <c r="M86" s="415"/>
      <c r="N86" s="343" t="s">
        <v>764</v>
      </c>
      <c r="O86" s="344" t="s">
        <v>1601</v>
      </c>
      <c r="P86" s="577"/>
      <c r="Q86" s="577"/>
      <c r="R86" s="577"/>
      <c r="S86" s="577"/>
      <c r="T86" s="577"/>
      <c r="U86" s="577"/>
      <c r="V86" s="200"/>
      <c r="W86" s="577"/>
      <c r="X86" s="590"/>
      <c r="Y86" s="577"/>
      <c r="Z86" s="577"/>
      <c r="AA86" s="375">
        <f t="shared" si="1"/>
        <v>0</v>
      </c>
    </row>
    <row r="87" spans="3:27" ht="15">
      <c r="C87" s="415">
        <v>81</v>
      </c>
      <c r="D87" s="415">
        <v>116</v>
      </c>
      <c r="E87" s="343" t="s">
        <v>763</v>
      </c>
      <c r="F87" s="344" t="s">
        <v>1602</v>
      </c>
      <c r="G87" s="364"/>
      <c r="H87" t="s">
        <v>2580</v>
      </c>
      <c r="K87" s="415">
        <v>81</v>
      </c>
      <c r="L87" s="415">
        <v>116</v>
      </c>
      <c r="M87" s="415"/>
      <c r="N87" s="343" t="s">
        <v>763</v>
      </c>
      <c r="O87" s="344" t="s">
        <v>1602</v>
      </c>
      <c r="P87" s="577"/>
      <c r="Q87" s="577"/>
      <c r="R87" s="577"/>
      <c r="S87" s="577"/>
      <c r="T87" s="577"/>
      <c r="U87" s="577"/>
      <c r="V87" s="200"/>
      <c r="W87" s="577"/>
      <c r="X87" s="590"/>
      <c r="Y87" s="577"/>
      <c r="Z87" s="577"/>
      <c r="AA87" s="375">
        <f t="shared" si="1"/>
        <v>0</v>
      </c>
    </row>
    <row r="88" spans="3:27" ht="15">
      <c r="C88" s="415">
        <v>82</v>
      </c>
      <c r="D88" s="415">
        <v>64</v>
      </c>
      <c r="E88" s="343" t="s">
        <v>762</v>
      </c>
      <c r="F88" s="344" t="s">
        <v>1587</v>
      </c>
      <c r="G88" s="364"/>
      <c r="H88" t="s">
        <v>2580</v>
      </c>
      <c r="K88" s="415">
        <v>82</v>
      </c>
      <c r="L88" s="415">
        <v>64</v>
      </c>
      <c r="M88" s="415"/>
      <c r="N88" s="343" t="s">
        <v>762</v>
      </c>
      <c r="O88" s="344" t="s">
        <v>1587</v>
      </c>
      <c r="P88" s="577"/>
      <c r="Q88" s="577"/>
      <c r="R88" s="577"/>
      <c r="S88" s="577"/>
      <c r="T88" s="577"/>
      <c r="U88" s="577"/>
      <c r="V88" s="200"/>
      <c r="W88" s="577"/>
      <c r="X88" s="590"/>
      <c r="Y88" s="577"/>
      <c r="Z88" s="577"/>
      <c r="AA88" s="375">
        <f t="shared" si="1"/>
        <v>0</v>
      </c>
    </row>
    <row r="89" spans="3:27" ht="15">
      <c r="C89" s="415">
        <v>83</v>
      </c>
      <c r="D89" s="415">
        <v>21</v>
      </c>
      <c r="E89" s="343" t="s">
        <v>760</v>
      </c>
      <c r="F89" s="344" t="s">
        <v>1599</v>
      </c>
      <c r="G89" s="364"/>
      <c r="H89" t="s">
        <v>2580</v>
      </c>
      <c r="K89" s="415">
        <v>83</v>
      </c>
      <c r="L89" s="415">
        <v>21</v>
      </c>
      <c r="M89" s="415"/>
      <c r="N89" s="343" t="s">
        <v>760</v>
      </c>
      <c r="O89" s="344" t="s">
        <v>1599</v>
      </c>
      <c r="P89" s="577"/>
      <c r="Q89" s="577"/>
      <c r="R89" s="577"/>
      <c r="S89" s="577"/>
      <c r="T89" s="577"/>
      <c r="U89" s="577"/>
      <c r="V89" s="200"/>
      <c r="W89" s="577"/>
      <c r="X89" s="590"/>
      <c r="Y89" s="577"/>
      <c r="Z89" s="577"/>
      <c r="AA89" s="375">
        <f t="shared" si="1"/>
        <v>0</v>
      </c>
    </row>
    <row r="90" spans="3:27" ht="15">
      <c r="C90" s="415">
        <v>84</v>
      </c>
      <c r="D90" s="415">
        <v>225</v>
      </c>
      <c r="E90" s="344" t="s">
        <v>765</v>
      </c>
      <c r="F90" s="344" t="s">
        <v>1600</v>
      </c>
      <c r="G90" s="364"/>
      <c r="H90" t="s">
        <v>2580</v>
      </c>
      <c r="K90" s="415">
        <v>84</v>
      </c>
      <c r="L90" s="415">
        <v>225</v>
      </c>
      <c r="M90" s="415"/>
      <c r="N90" s="344" t="s">
        <v>765</v>
      </c>
      <c r="O90" s="344" t="s">
        <v>1600</v>
      </c>
      <c r="P90" s="577"/>
      <c r="Q90" s="577"/>
      <c r="R90" s="577"/>
      <c r="S90" s="577"/>
      <c r="T90" s="577"/>
      <c r="U90" s="577"/>
      <c r="V90" s="200"/>
      <c r="W90" s="577"/>
      <c r="X90" s="590"/>
      <c r="Y90" s="577"/>
      <c r="Z90" s="577"/>
      <c r="AA90" s="375">
        <f t="shared" si="1"/>
        <v>0</v>
      </c>
    </row>
    <row r="91" spans="3:27" ht="15">
      <c r="C91" s="415">
        <v>85</v>
      </c>
      <c r="D91" s="415">
        <v>151</v>
      </c>
      <c r="E91" s="66" t="s">
        <v>418</v>
      </c>
      <c r="F91" s="340" t="s">
        <v>419</v>
      </c>
      <c r="G91" s="364">
        <v>-67924.459999999992</v>
      </c>
      <c r="H91" t="s">
        <v>2580</v>
      </c>
      <c r="K91" s="415">
        <v>85</v>
      </c>
      <c r="L91" s="415">
        <v>151</v>
      </c>
      <c r="M91" s="415"/>
      <c r="N91" s="66" t="s">
        <v>418</v>
      </c>
      <c r="O91" s="79" t="s">
        <v>2319</v>
      </c>
      <c r="P91" s="578">
        <v>172</v>
      </c>
      <c r="Q91" s="578">
        <v>2158.64</v>
      </c>
      <c r="R91" s="578">
        <v>33441.54</v>
      </c>
      <c r="S91" s="578">
        <v>16941.05</v>
      </c>
      <c r="T91" s="578">
        <v>428.71</v>
      </c>
      <c r="U91" s="578"/>
      <c r="V91" s="200"/>
      <c r="W91" s="578">
        <v>15126.52</v>
      </c>
      <c r="X91" s="578">
        <v>52969.939999999995</v>
      </c>
      <c r="Y91" s="578">
        <v>68096.459999999992</v>
      </c>
      <c r="Z91" s="578">
        <v>-67924.459999999992</v>
      </c>
      <c r="AA91" s="375">
        <f t="shared" si="1"/>
        <v>0</v>
      </c>
    </row>
    <row r="92" spans="3:27" ht="15">
      <c r="C92" s="415">
        <v>86</v>
      </c>
      <c r="D92" s="415">
        <v>230</v>
      </c>
      <c r="E92" s="66" t="s">
        <v>564</v>
      </c>
      <c r="F92" t="s">
        <v>1004</v>
      </c>
      <c r="G92" s="364">
        <v>-131715.27293026261</v>
      </c>
      <c r="H92" t="s">
        <v>2580</v>
      </c>
      <c r="K92" s="415">
        <v>86</v>
      </c>
      <c r="L92" s="415">
        <v>230</v>
      </c>
      <c r="M92" s="415"/>
      <c r="N92" s="66" t="s">
        <v>564</v>
      </c>
      <c r="O92" t="s">
        <v>2587</v>
      </c>
      <c r="P92" s="577">
        <v>11958141.59</v>
      </c>
      <c r="Q92" s="577">
        <v>4452732.0403613504</v>
      </c>
      <c r="R92" s="577">
        <v>6235023.4577598413</v>
      </c>
      <c r="S92" s="577">
        <v>328720.51315740711</v>
      </c>
      <c r="T92" s="577">
        <v>160314.27483694177</v>
      </c>
      <c r="U92" s="577">
        <v>50369.903884459214</v>
      </c>
      <c r="V92" s="497"/>
      <c r="W92" s="577">
        <v>862696.67293026252</v>
      </c>
      <c r="X92" s="590">
        <v>11227160.189999999</v>
      </c>
      <c r="Y92" s="577">
        <v>12089856.862930262</v>
      </c>
      <c r="Z92" s="577">
        <v>-131715.27293026261</v>
      </c>
      <c r="AA92" s="375">
        <f t="shared" si="1"/>
        <v>0</v>
      </c>
    </row>
    <row r="93" spans="3:27" ht="15">
      <c r="C93" s="415">
        <v>87</v>
      </c>
      <c r="D93" s="415">
        <v>34</v>
      </c>
      <c r="E93" s="66" t="s">
        <v>222</v>
      </c>
      <c r="F93" t="s">
        <v>1611</v>
      </c>
      <c r="G93" s="364">
        <v>-2877091.3536986355</v>
      </c>
      <c r="H93" t="s">
        <v>2580</v>
      </c>
      <c r="K93" s="415">
        <v>87</v>
      </c>
      <c r="L93" s="415">
        <v>34</v>
      </c>
      <c r="M93" s="415"/>
      <c r="N93" s="66" t="s">
        <v>222</v>
      </c>
      <c r="O93" t="s">
        <v>2588</v>
      </c>
      <c r="P93" s="577">
        <v>12541156.890000001</v>
      </c>
      <c r="Q93" s="577">
        <v>704314.41219146887</v>
      </c>
      <c r="R93" s="577">
        <v>363265.96019563626</v>
      </c>
      <c r="S93" s="577">
        <v>86921.435117147921</v>
      </c>
      <c r="T93" s="577">
        <v>10533708.006334109</v>
      </c>
      <c r="U93" s="577">
        <v>2138471.9861616376</v>
      </c>
      <c r="V93" s="200"/>
      <c r="W93" s="577">
        <v>1591566.4436986349</v>
      </c>
      <c r="X93" s="590">
        <v>13826681.800000001</v>
      </c>
      <c r="Y93" s="577">
        <v>15418248.243698636</v>
      </c>
      <c r="Z93" s="577">
        <v>-2877091.3536986355</v>
      </c>
      <c r="AA93" s="375">
        <f t="shared" si="1"/>
        <v>0</v>
      </c>
    </row>
    <row r="94" spans="3:27" ht="15">
      <c r="C94" s="415">
        <v>88</v>
      </c>
      <c r="D94" s="415">
        <v>269</v>
      </c>
      <c r="E94" s="66" t="s">
        <v>632</v>
      </c>
      <c r="F94" t="s">
        <v>1627</v>
      </c>
      <c r="G94" s="364">
        <v>-73376.661516000007</v>
      </c>
      <c r="H94" t="s">
        <v>2580</v>
      </c>
      <c r="K94" s="415">
        <v>88</v>
      </c>
      <c r="L94" s="415">
        <v>269</v>
      </c>
      <c r="M94" s="415"/>
      <c r="N94" s="66" t="s">
        <v>632</v>
      </c>
      <c r="O94" t="s">
        <v>2589</v>
      </c>
      <c r="P94" s="577">
        <v>41779.800000000003</v>
      </c>
      <c r="Q94" s="577">
        <v>24284.17</v>
      </c>
      <c r="R94" s="577">
        <v>52250.990000000005</v>
      </c>
      <c r="S94" s="577">
        <v>7391.06</v>
      </c>
      <c r="T94" s="577">
        <v>9179.74</v>
      </c>
      <c r="U94" s="577">
        <v>0</v>
      </c>
      <c r="V94" s="200"/>
      <c r="W94" s="577">
        <v>22050.501516000004</v>
      </c>
      <c r="X94" s="590">
        <v>93105.96</v>
      </c>
      <c r="Y94" s="577">
        <v>115156.46151600001</v>
      </c>
      <c r="Z94" s="577">
        <v>-73376.661516000007</v>
      </c>
      <c r="AA94" s="375">
        <f t="shared" si="1"/>
        <v>0</v>
      </c>
    </row>
    <row r="95" spans="3:27" ht="15">
      <c r="C95" s="415">
        <v>89</v>
      </c>
      <c r="D95" s="415">
        <v>98</v>
      </c>
      <c r="E95" s="66" t="s">
        <v>340</v>
      </c>
      <c r="F95" t="s">
        <v>907</v>
      </c>
      <c r="G95" s="364">
        <v>-778650.23314941116</v>
      </c>
      <c r="H95" t="s">
        <v>2580</v>
      </c>
      <c r="K95" s="415">
        <v>89</v>
      </c>
      <c r="L95" s="415">
        <v>98</v>
      </c>
      <c r="M95" s="415"/>
      <c r="N95" s="66" t="s">
        <v>340</v>
      </c>
      <c r="O95" t="s">
        <v>1750</v>
      </c>
      <c r="P95" s="577">
        <v>15304087.050000001</v>
      </c>
      <c r="Q95" s="577">
        <v>6332171.6345735909</v>
      </c>
      <c r="R95" s="577">
        <v>7624706.4191931495</v>
      </c>
      <c r="S95" s="577">
        <v>718010.97171233478</v>
      </c>
      <c r="T95" s="577">
        <v>120906.93838406303</v>
      </c>
      <c r="U95" s="577">
        <v>64793.96613686264</v>
      </c>
      <c r="V95" s="200"/>
      <c r="W95" s="577">
        <v>1222147.3531494108</v>
      </c>
      <c r="X95" s="590">
        <v>14860589.930000002</v>
      </c>
      <c r="Y95" s="577">
        <v>16082737.283149412</v>
      </c>
      <c r="Z95" s="577">
        <v>-778650.23314941116</v>
      </c>
      <c r="AA95" s="375">
        <f t="shared" si="1"/>
        <v>0</v>
      </c>
    </row>
    <row r="96" spans="3:27" ht="15">
      <c r="C96" s="415">
        <v>90</v>
      </c>
      <c r="D96" s="415">
        <v>293</v>
      </c>
      <c r="E96" s="66" t="s">
        <v>673</v>
      </c>
      <c r="F96" t="s">
        <v>1053</v>
      </c>
      <c r="G96" s="364">
        <v>-400444.73930948181</v>
      </c>
      <c r="H96" t="s">
        <v>2580</v>
      </c>
      <c r="K96" s="415">
        <v>90</v>
      </c>
      <c r="L96" s="415">
        <v>293</v>
      </c>
      <c r="M96" s="415"/>
      <c r="N96" s="66" t="s">
        <v>673</v>
      </c>
      <c r="O96" t="s">
        <v>1922</v>
      </c>
      <c r="P96" s="577">
        <v>2421584.37</v>
      </c>
      <c r="Q96" s="577">
        <v>990194.55530151515</v>
      </c>
      <c r="R96" s="577">
        <v>1389440.4233126375</v>
      </c>
      <c r="S96" s="577">
        <v>107453.14587867317</v>
      </c>
      <c r="T96" s="577">
        <v>51594.995234231676</v>
      </c>
      <c r="U96" s="577">
        <v>4308.3502729424818</v>
      </c>
      <c r="V96" s="200"/>
      <c r="W96" s="577">
        <v>279037.63930948271</v>
      </c>
      <c r="X96" s="590">
        <v>2542991.4699999993</v>
      </c>
      <c r="Y96" s="577">
        <v>2822029.1093094819</v>
      </c>
      <c r="Z96" s="577">
        <v>-400444.73930948181</v>
      </c>
      <c r="AA96" s="375">
        <f t="shared" si="1"/>
        <v>0</v>
      </c>
    </row>
    <row r="97" spans="3:27" ht="15">
      <c r="C97" s="415">
        <v>91</v>
      </c>
      <c r="D97" s="415">
        <v>210</v>
      </c>
      <c r="E97" s="66" t="s">
        <v>533</v>
      </c>
      <c r="F97" t="s">
        <v>996</v>
      </c>
      <c r="G97" s="364">
        <v>-597626.23261592048</v>
      </c>
      <c r="H97" t="s">
        <v>2580</v>
      </c>
      <c r="K97" s="415">
        <v>91</v>
      </c>
      <c r="L97" s="415">
        <v>210</v>
      </c>
      <c r="M97" s="415"/>
      <c r="N97" s="66" t="s">
        <v>533</v>
      </c>
      <c r="O97" t="s">
        <v>1848</v>
      </c>
      <c r="P97" s="577">
        <v>2007123.93</v>
      </c>
      <c r="Q97" s="577">
        <v>1201997.6713635509</v>
      </c>
      <c r="R97" s="577">
        <v>1105324.9168066015</v>
      </c>
      <c r="S97" s="577">
        <v>113528.66108024502</v>
      </c>
      <c r="T97" s="577">
        <v>17051.700749602474</v>
      </c>
      <c r="U97" s="577">
        <v>0</v>
      </c>
      <c r="V97" s="200"/>
      <c r="W97" s="577">
        <v>166847.21261592061</v>
      </c>
      <c r="X97" s="590">
        <v>2437902.9499999997</v>
      </c>
      <c r="Y97" s="577">
        <v>2604750.1626159204</v>
      </c>
      <c r="Z97" s="577">
        <v>-597626.23261592048</v>
      </c>
      <c r="AA97" s="375">
        <f t="shared" si="1"/>
        <v>0</v>
      </c>
    </row>
    <row r="98" spans="3:27" ht="15">
      <c r="C98" s="415">
        <v>92</v>
      </c>
      <c r="D98" s="415">
        <v>11</v>
      </c>
      <c r="E98" s="66" t="s">
        <v>183</v>
      </c>
      <c r="F98" t="s">
        <v>835</v>
      </c>
      <c r="G98" s="364">
        <v>-112152.85008899996</v>
      </c>
      <c r="H98" t="s">
        <v>2580</v>
      </c>
      <c r="K98" s="415">
        <v>92</v>
      </c>
      <c r="L98" s="415">
        <v>11</v>
      </c>
      <c r="M98" s="415"/>
      <c r="N98" s="66" t="s">
        <v>183</v>
      </c>
      <c r="O98" t="s">
        <v>1669</v>
      </c>
      <c r="P98" s="577">
        <v>852853.39</v>
      </c>
      <c r="Q98" s="577">
        <v>408443.86</v>
      </c>
      <c r="R98" s="577">
        <v>456121.4</v>
      </c>
      <c r="S98" s="577">
        <v>6178.11</v>
      </c>
      <c r="T98" s="577">
        <v>0</v>
      </c>
      <c r="U98" s="577">
        <v>0</v>
      </c>
      <c r="V98" s="200"/>
      <c r="W98" s="577">
        <v>94262.870089000004</v>
      </c>
      <c r="X98" s="590">
        <v>870743.37</v>
      </c>
      <c r="Y98" s="577">
        <v>965006.24008899997</v>
      </c>
      <c r="Z98" s="577">
        <v>-112152.85008899996</v>
      </c>
      <c r="AA98" s="375">
        <f t="shared" si="1"/>
        <v>0</v>
      </c>
    </row>
    <row r="99" spans="3:27" ht="15">
      <c r="C99" s="415">
        <v>93</v>
      </c>
      <c r="D99" s="415">
        <v>206</v>
      </c>
      <c r="E99" s="66" t="s">
        <v>525</v>
      </c>
      <c r="F99" t="s">
        <v>992</v>
      </c>
      <c r="G99" s="364">
        <v>-307887.69581105094</v>
      </c>
      <c r="H99" t="s">
        <v>2580</v>
      </c>
      <c r="K99" s="415">
        <v>93</v>
      </c>
      <c r="L99" s="415">
        <v>206</v>
      </c>
      <c r="M99" s="415"/>
      <c r="N99" s="66" t="s">
        <v>525</v>
      </c>
      <c r="O99" t="s">
        <v>1844</v>
      </c>
      <c r="P99" s="577">
        <v>5709379.5300000003</v>
      </c>
      <c r="Q99" s="577">
        <v>2331554.8338083578</v>
      </c>
      <c r="R99" s="577">
        <v>2764583.0740025081</v>
      </c>
      <c r="S99" s="577">
        <v>186532.15079168987</v>
      </c>
      <c r="T99" s="577">
        <v>282232.22278789227</v>
      </c>
      <c r="U99" s="577">
        <v>86026.6786095516</v>
      </c>
      <c r="V99" s="200"/>
      <c r="W99" s="577">
        <v>366338.26581105083</v>
      </c>
      <c r="X99" s="590">
        <v>5650928.96</v>
      </c>
      <c r="Y99" s="577">
        <v>6017267.2258110512</v>
      </c>
      <c r="Z99" s="577">
        <v>-307887.69581105094</v>
      </c>
      <c r="AA99" s="375">
        <f t="shared" si="1"/>
        <v>0</v>
      </c>
    </row>
    <row r="100" spans="3:27" ht="15">
      <c r="C100" s="415">
        <v>94</v>
      </c>
      <c r="D100" s="415">
        <v>251</v>
      </c>
      <c r="E100" s="66" t="s">
        <v>606</v>
      </c>
      <c r="F100" t="s">
        <v>1022</v>
      </c>
      <c r="G100" s="364">
        <v>-157936.81544300006</v>
      </c>
      <c r="H100" t="s">
        <v>2580</v>
      </c>
      <c r="K100" s="415">
        <v>94</v>
      </c>
      <c r="L100" s="415">
        <v>251</v>
      </c>
      <c r="M100" s="415"/>
      <c r="N100" s="66" t="s">
        <v>606</v>
      </c>
      <c r="O100" t="s">
        <v>1885</v>
      </c>
      <c r="P100" s="577">
        <v>327444.8</v>
      </c>
      <c r="Q100" s="577">
        <v>157409.43</v>
      </c>
      <c r="R100" s="577">
        <v>247842.44</v>
      </c>
      <c r="S100" s="577">
        <v>8091.82</v>
      </c>
      <c r="T100" s="577">
        <v>11209.33</v>
      </c>
      <c r="U100" s="577">
        <v>0</v>
      </c>
      <c r="V100" s="200"/>
      <c r="W100" s="577">
        <v>60828.595443000013</v>
      </c>
      <c r="X100" s="590">
        <v>424553.02</v>
      </c>
      <c r="Y100" s="577">
        <v>485381.61544300005</v>
      </c>
      <c r="Z100" s="577">
        <v>-157936.81544300006</v>
      </c>
      <c r="AA100" s="375">
        <f t="shared" si="1"/>
        <v>0</v>
      </c>
    </row>
    <row r="101" spans="3:27" ht="15">
      <c r="C101" s="415">
        <v>95</v>
      </c>
      <c r="D101" s="415">
        <v>307</v>
      </c>
      <c r="E101" s="66" t="s">
        <v>697</v>
      </c>
      <c r="F101" t="s">
        <v>1063</v>
      </c>
      <c r="G101" s="364">
        <v>-115574.33454000003</v>
      </c>
      <c r="H101" t="s">
        <v>2580</v>
      </c>
      <c r="K101" s="415">
        <v>95</v>
      </c>
      <c r="L101" s="415">
        <v>307</v>
      </c>
      <c r="M101" s="415"/>
      <c r="N101" s="66" t="s">
        <v>697</v>
      </c>
      <c r="O101" t="s">
        <v>1935</v>
      </c>
      <c r="P101" s="577">
        <v>99462.95</v>
      </c>
      <c r="Q101" s="577">
        <v>51438.47</v>
      </c>
      <c r="R101" s="577">
        <v>99226.3</v>
      </c>
      <c r="S101" s="577">
        <v>8150.97</v>
      </c>
      <c r="T101" s="577">
        <v>25467.89</v>
      </c>
      <c r="U101" s="577">
        <v>0</v>
      </c>
      <c r="V101" s="200"/>
      <c r="W101" s="577">
        <v>30753.654540000003</v>
      </c>
      <c r="X101" s="590">
        <v>184283.63</v>
      </c>
      <c r="Y101" s="577">
        <v>215037.28454000002</v>
      </c>
      <c r="Z101" s="577">
        <v>-115574.33454000003</v>
      </c>
      <c r="AA101" s="375">
        <f t="shared" si="1"/>
        <v>0</v>
      </c>
    </row>
    <row r="102" spans="3:27" ht="15">
      <c r="C102" s="415">
        <v>96</v>
      </c>
      <c r="D102" s="415">
        <v>144</v>
      </c>
      <c r="E102" s="66" t="s">
        <v>404</v>
      </c>
      <c r="F102" t="s">
        <v>935</v>
      </c>
      <c r="G102" s="364">
        <v>-78807.136760000009</v>
      </c>
      <c r="H102" t="s">
        <v>2580</v>
      </c>
      <c r="K102" s="415">
        <v>96</v>
      </c>
      <c r="L102" s="415">
        <v>144</v>
      </c>
      <c r="M102" s="415"/>
      <c r="N102" s="66" t="s">
        <v>404</v>
      </c>
      <c r="O102" t="s">
        <v>1785</v>
      </c>
      <c r="P102" s="577">
        <v>57891.61</v>
      </c>
      <c r="Q102" s="577">
        <v>46114.8</v>
      </c>
      <c r="R102" s="577">
        <v>63876.800000000003</v>
      </c>
      <c r="S102" s="577">
        <v>3745.67</v>
      </c>
      <c r="T102" s="577">
        <v>5470.7300000000005</v>
      </c>
      <c r="U102" s="577">
        <v>5847</v>
      </c>
      <c r="V102" s="200"/>
      <c r="W102" s="577">
        <v>11643.74676</v>
      </c>
      <c r="X102" s="590">
        <v>125055</v>
      </c>
      <c r="Y102" s="577">
        <v>136698.74676000001</v>
      </c>
      <c r="Z102" s="577">
        <v>-78807.136760000009</v>
      </c>
      <c r="AA102" s="375">
        <f t="shared" si="1"/>
        <v>0</v>
      </c>
    </row>
    <row r="103" spans="3:27" ht="15">
      <c r="C103" s="415">
        <v>97</v>
      </c>
      <c r="D103" s="415">
        <v>147</v>
      </c>
      <c r="E103" s="66" t="s">
        <v>410</v>
      </c>
      <c r="F103" t="s">
        <v>936</v>
      </c>
      <c r="G103" s="364">
        <v>3206.6051599999191</v>
      </c>
      <c r="H103" t="s">
        <v>2580</v>
      </c>
      <c r="K103" s="415">
        <v>97</v>
      </c>
      <c r="L103" s="415">
        <v>147</v>
      </c>
      <c r="M103" s="415"/>
      <c r="N103" s="66" t="s">
        <v>410</v>
      </c>
      <c r="O103" t="s">
        <v>1788</v>
      </c>
      <c r="P103" s="577">
        <v>607248.9</v>
      </c>
      <c r="Q103" s="577">
        <v>205638.64</v>
      </c>
      <c r="R103" s="577">
        <v>332745.15000000002</v>
      </c>
      <c r="S103" s="577">
        <v>17171.900000000001</v>
      </c>
      <c r="T103" s="577">
        <v>1161.25</v>
      </c>
      <c r="U103" s="577">
        <v>0</v>
      </c>
      <c r="V103" s="200"/>
      <c r="W103" s="577">
        <v>47325.354840000007</v>
      </c>
      <c r="X103" s="590">
        <v>556716.94000000006</v>
      </c>
      <c r="Y103" s="577">
        <v>604042.2948400001</v>
      </c>
      <c r="Z103" s="577">
        <v>3206.6051599999191</v>
      </c>
      <c r="AA103" s="375">
        <f t="shared" si="1"/>
        <v>0</v>
      </c>
    </row>
    <row r="104" spans="3:27" ht="15">
      <c r="C104" s="415">
        <v>98</v>
      </c>
      <c r="D104" s="415">
        <v>75</v>
      </c>
      <c r="E104" s="66" t="s">
        <v>295</v>
      </c>
      <c r="F104" t="s">
        <v>886</v>
      </c>
      <c r="G104" s="364">
        <v>-75038.61210800003</v>
      </c>
      <c r="H104" t="s">
        <v>2580</v>
      </c>
      <c r="K104" s="415">
        <v>98</v>
      </c>
      <c r="L104" s="415">
        <v>75</v>
      </c>
      <c r="M104" s="415"/>
      <c r="N104" s="66" t="s">
        <v>295</v>
      </c>
      <c r="O104" t="s">
        <v>1727</v>
      </c>
      <c r="P104" s="577">
        <v>450482.43</v>
      </c>
      <c r="Q104" s="577">
        <v>184040.21000000002</v>
      </c>
      <c r="R104" s="577">
        <v>233673.75</v>
      </c>
      <c r="S104" s="577">
        <v>15924.7</v>
      </c>
      <c r="T104" s="577">
        <v>26769.979999999985</v>
      </c>
      <c r="U104" s="577">
        <v>0</v>
      </c>
      <c r="V104" s="200"/>
      <c r="W104" s="577">
        <v>65112.402108000002</v>
      </c>
      <c r="X104" s="590">
        <v>460408.64</v>
      </c>
      <c r="Y104" s="577">
        <v>525521.04210800002</v>
      </c>
      <c r="Z104" s="577">
        <v>-75038.61210800003</v>
      </c>
      <c r="AA104" s="375">
        <f t="shared" si="1"/>
        <v>0</v>
      </c>
    </row>
    <row r="105" spans="3:27" ht="15">
      <c r="C105" s="415">
        <v>99</v>
      </c>
      <c r="D105" s="415">
        <v>320</v>
      </c>
      <c r="E105" s="66" t="s">
        <v>722</v>
      </c>
      <c r="F105" t="s">
        <v>1073</v>
      </c>
      <c r="G105" s="364">
        <v>-253243.96185261197</v>
      </c>
      <c r="H105" t="s">
        <v>2580</v>
      </c>
      <c r="K105" s="415">
        <v>99</v>
      </c>
      <c r="L105" s="415">
        <v>320</v>
      </c>
      <c r="M105" s="415"/>
      <c r="N105" s="66" t="s">
        <v>722</v>
      </c>
      <c r="O105" t="s">
        <v>1948</v>
      </c>
      <c r="P105" s="577">
        <v>3045492.58</v>
      </c>
      <c r="Q105" s="577">
        <v>1285148.0340482418</v>
      </c>
      <c r="R105" s="577">
        <v>1590446.2703753146</v>
      </c>
      <c r="S105" s="577">
        <v>79712.562480926514</v>
      </c>
      <c r="T105" s="577">
        <v>3786.2230955170212</v>
      </c>
      <c r="U105" s="577">
        <v>0</v>
      </c>
      <c r="V105" s="498"/>
      <c r="W105" s="577">
        <v>339643.45185261173</v>
      </c>
      <c r="X105" s="590">
        <v>2959093.0900000003</v>
      </c>
      <c r="Y105" s="577">
        <v>3298736.541852612</v>
      </c>
      <c r="Z105" s="577">
        <v>-253243.96185261197</v>
      </c>
      <c r="AA105" s="375">
        <f t="shared" si="1"/>
        <v>0</v>
      </c>
    </row>
    <row r="106" spans="3:27" ht="15">
      <c r="C106" s="415">
        <v>100</v>
      </c>
      <c r="D106" s="415">
        <v>324</v>
      </c>
      <c r="E106" s="66" t="s">
        <v>730</v>
      </c>
      <c r="F106" t="s">
        <v>1077</v>
      </c>
      <c r="G106" s="364">
        <v>-50859.867716433946</v>
      </c>
      <c r="H106" t="s">
        <v>2580</v>
      </c>
      <c r="K106" s="415">
        <v>100</v>
      </c>
      <c r="L106" s="415">
        <v>324</v>
      </c>
      <c r="M106" s="415"/>
      <c r="N106" s="66" t="s">
        <v>730</v>
      </c>
      <c r="O106" t="s">
        <v>1952</v>
      </c>
      <c r="P106" s="577">
        <v>1264967.02</v>
      </c>
      <c r="Q106" s="577">
        <v>417592.2312614519</v>
      </c>
      <c r="R106" s="577">
        <v>564053.73503167485</v>
      </c>
      <c r="S106" s="577">
        <v>39828.366866890552</v>
      </c>
      <c r="T106" s="577">
        <v>157075.75683998258</v>
      </c>
      <c r="U106" s="577">
        <v>0</v>
      </c>
      <c r="V106" s="200"/>
      <c r="W106" s="577">
        <v>137276.79771643406</v>
      </c>
      <c r="X106" s="590">
        <v>1178550.0899999999</v>
      </c>
      <c r="Y106" s="577">
        <v>1315826.887716434</v>
      </c>
      <c r="Z106" s="577">
        <v>-50859.867716433946</v>
      </c>
      <c r="AA106" s="375">
        <f t="shared" si="1"/>
        <v>0</v>
      </c>
    </row>
    <row r="107" spans="3:27" ht="15">
      <c r="C107" s="415">
        <v>101</v>
      </c>
      <c r="D107" s="415">
        <v>242</v>
      </c>
      <c r="E107" s="66" t="s">
        <v>588</v>
      </c>
      <c r="F107" t="s">
        <v>1016</v>
      </c>
      <c r="G107" s="364">
        <v>-241742.28361100005</v>
      </c>
      <c r="H107" t="s">
        <v>2580</v>
      </c>
      <c r="K107" s="415">
        <v>101</v>
      </c>
      <c r="L107" s="415">
        <v>242</v>
      </c>
      <c r="M107" s="415"/>
      <c r="N107" s="66" t="s">
        <v>588</v>
      </c>
      <c r="O107" t="s">
        <v>1876</v>
      </c>
      <c r="P107" s="577">
        <v>1426013.69</v>
      </c>
      <c r="Q107" s="577">
        <v>600899.47</v>
      </c>
      <c r="R107" s="577">
        <v>821950.02</v>
      </c>
      <c r="S107" s="577">
        <v>71261.919999999998</v>
      </c>
      <c r="T107" s="577">
        <v>24829.969999999998</v>
      </c>
      <c r="U107" s="577">
        <v>0</v>
      </c>
      <c r="V107" s="200"/>
      <c r="W107" s="577">
        <v>148814.59361099999</v>
      </c>
      <c r="X107" s="590">
        <v>1518941.38</v>
      </c>
      <c r="Y107" s="577">
        <v>1667755.973611</v>
      </c>
      <c r="Z107" s="577">
        <v>-241742.28361100005</v>
      </c>
      <c r="AA107" s="375">
        <f t="shared" si="1"/>
        <v>0</v>
      </c>
    </row>
    <row r="108" spans="3:27" ht="15">
      <c r="C108" s="415">
        <v>102</v>
      </c>
      <c r="D108" s="415">
        <v>172</v>
      </c>
      <c r="E108" s="66" t="s">
        <v>460</v>
      </c>
      <c r="F108" t="s">
        <v>959</v>
      </c>
      <c r="G108" s="364">
        <v>-97688.382216000027</v>
      </c>
      <c r="H108" t="s">
        <v>2580</v>
      </c>
      <c r="K108" s="415">
        <v>102</v>
      </c>
      <c r="L108" s="415">
        <v>172</v>
      </c>
      <c r="M108" s="415"/>
      <c r="N108" s="66" t="s">
        <v>460</v>
      </c>
      <c r="O108" t="s">
        <v>1813</v>
      </c>
      <c r="P108" s="577">
        <v>154261.82</v>
      </c>
      <c r="Q108" s="577">
        <v>69070.61</v>
      </c>
      <c r="R108" s="577">
        <v>97905.170000000013</v>
      </c>
      <c r="S108" s="577">
        <v>23632.09</v>
      </c>
      <c r="T108" s="577">
        <v>11912.53</v>
      </c>
      <c r="U108" s="577">
        <v>0</v>
      </c>
      <c r="V108" s="200"/>
      <c r="W108" s="577">
        <v>49429.802216000004</v>
      </c>
      <c r="X108" s="590">
        <v>202520.40000000002</v>
      </c>
      <c r="Y108" s="577">
        <v>251950.20221600003</v>
      </c>
      <c r="Z108" s="577">
        <v>-97688.382216000027</v>
      </c>
      <c r="AA108" s="375">
        <f t="shared" si="1"/>
        <v>0</v>
      </c>
    </row>
    <row r="109" spans="3:27" ht="15">
      <c r="C109" s="415">
        <v>103</v>
      </c>
      <c r="D109" s="415">
        <v>246</v>
      </c>
      <c r="E109" s="66" t="s">
        <v>596</v>
      </c>
      <c r="F109" t="s">
        <v>597</v>
      </c>
      <c r="G109" s="364">
        <v>-25222.768691000001</v>
      </c>
      <c r="H109" t="s">
        <v>2580</v>
      </c>
      <c r="K109" s="415">
        <v>103</v>
      </c>
      <c r="L109" s="415">
        <v>246</v>
      </c>
      <c r="M109" s="415"/>
      <c r="N109" s="66" t="s">
        <v>596</v>
      </c>
      <c r="O109" t="s">
        <v>2590</v>
      </c>
      <c r="P109" s="577">
        <v>22188.37</v>
      </c>
      <c r="Q109" s="577">
        <v>8275.9</v>
      </c>
      <c r="R109" s="577">
        <v>8781.15</v>
      </c>
      <c r="S109" s="577">
        <v>54.49</v>
      </c>
      <c r="T109" s="577">
        <v>16124.65</v>
      </c>
      <c r="U109" s="577">
        <v>0</v>
      </c>
      <c r="V109" s="200"/>
      <c r="W109" s="577">
        <v>14174.948691</v>
      </c>
      <c r="X109" s="590">
        <v>33236.19</v>
      </c>
      <c r="Y109" s="577">
        <v>47411.138691</v>
      </c>
      <c r="Z109" s="577">
        <v>-25222.768691000001</v>
      </c>
      <c r="AA109" s="375">
        <f t="shared" si="1"/>
        <v>0</v>
      </c>
    </row>
    <row r="110" spans="3:27" ht="15">
      <c r="C110" s="415">
        <v>104</v>
      </c>
      <c r="D110" s="415">
        <v>32</v>
      </c>
      <c r="E110" s="66" t="s">
        <v>218</v>
      </c>
      <c r="F110" t="s">
        <v>851</v>
      </c>
      <c r="G110" s="364">
        <v>-117976.90533600001</v>
      </c>
      <c r="H110" t="s">
        <v>2580</v>
      </c>
      <c r="K110" s="415">
        <v>104</v>
      </c>
      <c r="L110" s="415">
        <v>32</v>
      </c>
      <c r="M110" s="415"/>
      <c r="N110" s="66" t="s">
        <v>218</v>
      </c>
      <c r="O110" t="s">
        <v>1688</v>
      </c>
      <c r="P110" s="577">
        <v>68981.27</v>
      </c>
      <c r="Q110" s="577">
        <v>48653.759999999995</v>
      </c>
      <c r="R110" s="577">
        <v>103515.19</v>
      </c>
      <c r="S110" s="577">
        <v>6184.72</v>
      </c>
      <c r="T110" s="577">
        <v>450.15</v>
      </c>
      <c r="U110" s="577">
        <v>0</v>
      </c>
      <c r="V110" s="200"/>
      <c r="W110" s="577">
        <v>28154.355336000001</v>
      </c>
      <c r="X110" s="590">
        <v>158803.82</v>
      </c>
      <c r="Y110" s="577">
        <v>186958.17533600001</v>
      </c>
      <c r="Z110" s="577">
        <v>-117976.90533600001</v>
      </c>
      <c r="AA110" s="375">
        <f t="shared" si="1"/>
        <v>0</v>
      </c>
    </row>
    <row r="111" spans="3:27" ht="15">
      <c r="C111" s="415">
        <v>105</v>
      </c>
      <c r="D111" s="415">
        <v>279</v>
      </c>
      <c r="E111" s="66" t="s">
        <v>650</v>
      </c>
      <c r="F111" t="s">
        <v>1042</v>
      </c>
      <c r="G111" s="364">
        <v>-116230.41122271158</v>
      </c>
      <c r="H111" t="s">
        <v>2580</v>
      </c>
      <c r="K111" s="415">
        <v>105</v>
      </c>
      <c r="L111" s="415">
        <v>279</v>
      </c>
      <c r="M111" s="415"/>
      <c r="N111" s="66" t="s">
        <v>650</v>
      </c>
      <c r="O111" t="s">
        <v>1909</v>
      </c>
      <c r="P111" s="577">
        <v>255944.6</v>
      </c>
      <c r="Q111" s="577">
        <v>112433.08296882865</v>
      </c>
      <c r="R111" s="577">
        <v>186427.60124099231</v>
      </c>
      <c r="S111" s="577">
        <v>4573.620937436478</v>
      </c>
      <c r="T111" s="577">
        <v>10489.68485274253</v>
      </c>
      <c r="U111" s="577">
        <v>0</v>
      </c>
      <c r="V111" s="200"/>
      <c r="W111" s="577">
        <v>58251.021222711635</v>
      </c>
      <c r="X111" s="590">
        <v>313923.98999999993</v>
      </c>
      <c r="Y111" s="577">
        <v>372175.01122271159</v>
      </c>
      <c r="Z111" s="577">
        <v>-116230.41122271158</v>
      </c>
      <c r="AA111" s="375">
        <f t="shared" si="1"/>
        <v>0</v>
      </c>
    </row>
    <row r="112" spans="3:27" ht="15">
      <c r="C112" s="415">
        <v>106</v>
      </c>
      <c r="D112" s="415">
        <v>169</v>
      </c>
      <c r="E112" s="66" t="s">
        <v>454</v>
      </c>
      <c r="F112" t="s">
        <v>956</v>
      </c>
      <c r="G112" s="364">
        <v>-122582.62064900002</v>
      </c>
      <c r="H112" t="s">
        <v>2580</v>
      </c>
      <c r="K112" s="415">
        <v>106</v>
      </c>
      <c r="L112" s="415">
        <v>169</v>
      </c>
      <c r="M112" s="415"/>
      <c r="N112" s="66" t="s">
        <v>454</v>
      </c>
      <c r="O112" t="s">
        <v>1810</v>
      </c>
      <c r="P112" s="577">
        <v>139259.73000000001</v>
      </c>
      <c r="Q112" s="577">
        <v>68021.94</v>
      </c>
      <c r="R112" s="577">
        <v>127639.72</v>
      </c>
      <c r="S112" s="577">
        <v>10811.67</v>
      </c>
      <c r="T112" s="577">
        <v>21850</v>
      </c>
      <c r="U112" s="577">
        <v>0</v>
      </c>
      <c r="V112" s="200"/>
      <c r="W112" s="577">
        <v>33519.020649000006</v>
      </c>
      <c r="X112" s="590">
        <v>228323.33000000002</v>
      </c>
      <c r="Y112" s="577">
        <v>261842.35064900003</v>
      </c>
      <c r="Z112" s="577">
        <v>-122582.62064900002</v>
      </c>
      <c r="AA112" s="375">
        <f t="shared" si="1"/>
        <v>0</v>
      </c>
    </row>
    <row r="113" spans="3:27" ht="15">
      <c r="C113" s="415">
        <v>107</v>
      </c>
      <c r="D113" s="415">
        <v>323</v>
      </c>
      <c r="E113" s="66" t="s">
        <v>728</v>
      </c>
      <c r="F113" t="s">
        <v>1076</v>
      </c>
      <c r="G113" s="364">
        <v>-111296.13763100002</v>
      </c>
      <c r="H113" t="s">
        <v>2580</v>
      </c>
      <c r="K113" s="415">
        <v>107</v>
      </c>
      <c r="L113" s="415">
        <v>323</v>
      </c>
      <c r="M113" s="415"/>
      <c r="N113" s="66" t="s">
        <v>728</v>
      </c>
      <c r="O113" t="s">
        <v>1951</v>
      </c>
      <c r="P113" s="577">
        <v>869738.4</v>
      </c>
      <c r="Q113" s="577">
        <v>421846.41</v>
      </c>
      <c r="R113" s="577">
        <v>419945.05000000005</v>
      </c>
      <c r="S113" s="577">
        <v>27022.78</v>
      </c>
      <c r="T113" s="577">
        <v>1063.68</v>
      </c>
      <c r="U113" s="577">
        <v>0</v>
      </c>
      <c r="V113" s="200"/>
      <c r="W113" s="577">
        <v>111156.61763100002</v>
      </c>
      <c r="X113" s="590">
        <v>869877.92</v>
      </c>
      <c r="Y113" s="577">
        <v>981034.53763100004</v>
      </c>
      <c r="Z113" s="577">
        <v>-111296.13763100002</v>
      </c>
      <c r="AA113" s="375">
        <f t="shared" si="1"/>
        <v>0</v>
      </c>
    </row>
    <row r="114" spans="3:27" ht="15">
      <c r="C114" s="415">
        <v>108</v>
      </c>
      <c r="D114" s="415">
        <v>101</v>
      </c>
      <c r="E114" s="66" t="s">
        <v>346</v>
      </c>
      <c r="F114" t="s">
        <v>910</v>
      </c>
      <c r="G114" s="364">
        <v>-116107.08071767725</v>
      </c>
      <c r="H114" t="s">
        <v>2580</v>
      </c>
      <c r="K114" s="415">
        <v>108</v>
      </c>
      <c r="L114" s="415">
        <v>101</v>
      </c>
      <c r="M114" s="415"/>
      <c r="N114" s="66" t="s">
        <v>346</v>
      </c>
      <c r="O114" t="s">
        <v>1753</v>
      </c>
      <c r="P114" s="577">
        <v>11468452.42</v>
      </c>
      <c r="Q114" s="577">
        <v>4172899.0807516798</v>
      </c>
      <c r="R114" s="577">
        <v>5725717.676441255</v>
      </c>
      <c r="S114" s="577">
        <v>586266.09096559894</v>
      </c>
      <c r="T114" s="577">
        <v>34640.757160807647</v>
      </c>
      <c r="U114" s="577">
        <v>40056.034680659381</v>
      </c>
      <c r="V114" s="200"/>
      <c r="W114" s="577">
        <v>1024979.8607176774</v>
      </c>
      <c r="X114" s="590">
        <v>10559579.640000001</v>
      </c>
      <c r="Y114" s="577">
        <v>11584559.500717677</v>
      </c>
      <c r="Z114" s="577">
        <v>-116107.08071767725</v>
      </c>
      <c r="AA114" s="375">
        <f t="shared" si="1"/>
        <v>0</v>
      </c>
    </row>
    <row r="115" spans="3:27" ht="15">
      <c r="C115" s="415">
        <v>109</v>
      </c>
      <c r="D115" s="415">
        <v>30</v>
      </c>
      <c r="E115" s="66" t="s">
        <v>215</v>
      </c>
      <c r="F115" t="s">
        <v>850</v>
      </c>
      <c r="G115" s="364">
        <v>-136420.66817600012</v>
      </c>
      <c r="H115" t="s">
        <v>2580</v>
      </c>
      <c r="K115" s="415">
        <v>109</v>
      </c>
      <c r="L115" s="415">
        <v>30</v>
      </c>
      <c r="M115" s="415"/>
      <c r="N115" s="66" t="s">
        <v>215</v>
      </c>
      <c r="O115" t="s">
        <v>2591</v>
      </c>
      <c r="P115" s="577">
        <v>863219.08</v>
      </c>
      <c r="Q115" s="577">
        <v>43402.62</v>
      </c>
      <c r="R115" s="577">
        <v>0</v>
      </c>
      <c r="S115" s="577">
        <v>0</v>
      </c>
      <c r="T115" s="577">
        <v>787415.29</v>
      </c>
      <c r="U115" s="577">
        <v>0</v>
      </c>
      <c r="V115" s="200"/>
      <c r="W115" s="577">
        <v>168821.83817600002</v>
      </c>
      <c r="X115" s="590">
        <v>830817.91</v>
      </c>
      <c r="Y115" s="577">
        <v>999639.74817600008</v>
      </c>
      <c r="Z115" s="577">
        <v>-136420.66817600012</v>
      </c>
      <c r="AA115" s="375">
        <f t="shared" si="1"/>
        <v>0</v>
      </c>
    </row>
    <row r="116" spans="3:27" ht="15">
      <c r="C116" s="415">
        <v>110</v>
      </c>
      <c r="D116" s="415">
        <v>177</v>
      </c>
      <c r="E116" s="66" t="s">
        <v>470</v>
      </c>
      <c r="F116" t="s">
        <v>964</v>
      </c>
      <c r="G116" s="364">
        <v>-135247.14837200003</v>
      </c>
      <c r="H116" t="s">
        <v>2580</v>
      </c>
      <c r="K116" s="415">
        <v>110</v>
      </c>
      <c r="L116" s="415">
        <v>177</v>
      </c>
      <c r="M116" s="415"/>
      <c r="N116" s="66" t="s">
        <v>470</v>
      </c>
      <c r="O116" t="s">
        <v>1818</v>
      </c>
      <c r="P116" s="577">
        <v>322458.03000000003</v>
      </c>
      <c r="Q116" s="577">
        <v>151102.72</v>
      </c>
      <c r="R116" s="577">
        <v>218096.55000000002</v>
      </c>
      <c r="S116" s="577">
        <v>13804.78</v>
      </c>
      <c r="T116" s="577">
        <v>13694.999999999998</v>
      </c>
      <c r="U116" s="577">
        <v>0</v>
      </c>
      <c r="V116" s="497"/>
      <c r="W116" s="577">
        <v>61006.128372000006</v>
      </c>
      <c r="X116" s="590">
        <v>396699.05000000005</v>
      </c>
      <c r="Y116" s="577">
        <v>457705.17837200005</v>
      </c>
      <c r="Z116" s="577">
        <v>-135247.14837200003</v>
      </c>
      <c r="AA116" s="375">
        <f t="shared" si="1"/>
        <v>0</v>
      </c>
    </row>
    <row r="117" spans="3:27" ht="15">
      <c r="C117" s="415">
        <v>111</v>
      </c>
      <c r="D117" s="415">
        <v>77</v>
      </c>
      <c r="E117" s="66" t="s">
        <v>299</v>
      </c>
      <c r="F117" t="s">
        <v>888</v>
      </c>
      <c r="G117" s="364">
        <v>153717.9036340001</v>
      </c>
      <c r="H117" t="s">
        <v>2580</v>
      </c>
      <c r="K117" s="415">
        <v>111</v>
      </c>
      <c r="L117" s="415">
        <v>77</v>
      </c>
      <c r="M117" s="415"/>
      <c r="N117" s="66" t="s">
        <v>299</v>
      </c>
      <c r="O117" t="s">
        <v>1729</v>
      </c>
      <c r="P117" s="577">
        <v>1578720.09</v>
      </c>
      <c r="Q117" s="577">
        <v>486469.72</v>
      </c>
      <c r="R117" s="577">
        <v>727210.47</v>
      </c>
      <c r="S117" s="577">
        <v>35469.090000000004</v>
      </c>
      <c r="T117" s="577">
        <v>10857.46</v>
      </c>
      <c r="U117" s="577">
        <v>0</v>
      </c>
      <c r="V117" s="200"/>
      <c r="W117" s="577">
        <v>164995.44636599996</v>
      </c>
      <c r="X117" s="590">
        <v>1260006.74</v>
      </c>
      <c r="Y117" s="577">
        <v>1425002.186366</v>
      </c>
      <c r="Z117" s="577">
        <v>153717.9036340001</v>
      </c>
      <c r="AA117" s="375">
        <f t="shared" si="1"/>
        <v>0</v>
      </c>
    </row>
    <row r="118" spans="3:27" ht="15">
      <c r="C118" s="415">
        <v>112</v>
      </c>
      <c r="D118" s="415">
        <v>125</v>
      </c>
      <c r="E118" s="66" t="s">
        <v>2303</v>
      </c>
      <c r="F118" s="427" t="s">
        <v>2393</v>
      </c>
      <c r="G118" s="364">
        <v>-43691.309944999986</v>
      </c>
      <c r="H118" t="s">
        <v>2580</v>
      </c>
      <c r="K118" s="415">
        <v>112</v>
      </c>
      <c r="L118" s="415">
        <v>125</v>
      </c>
      <c r="M118" s="415"/>
      <c r="N118" s="66" t="s">
        <v>2303</v>
      </c>
      <c r="O118" t="s">
        <v>2393</v>
      </c>
      <c r="P118" s="577">
        <v>153483.1</v>
      </c>
      <c r="Q118" s="577">
        <v>110833.47</v>
      </c>
      <c r="R118" s="577">
        <v>0</v>
      </c>
      <c r="S118" s="577">
        <v>74851.26999999999</v>
      </c>
      <c r="T118" s="577">
        <v>0</v>
      </c>
      <c r="U118" s="577">
        <v>0</v>
      </c>
      <c r="V118" s="200"/>
      <c r="W118" s="577">
        <v>11489.669944999998</v>
      </c>
      <c r="X118" s="590">
        <v>185684.74</v>
      </c>
      <c r="Y118" s="577">
        <v>197174.40994499999</v>
      </c>
      <c r="Z118" s="577">
        <v>-43691.309944999986</v>
      </c>
      <c r="AA118" s="375">
        <f t="shared" si="1"/>
        <v>0</v>
      </c>
    </row>
    <row r="119" spans="3:27" ht="15">
      <c r="C119" s="415">
        <v>113</v>
      </c>
      <c r="D119" s="415">
        <v>212</v>
      </c>
      <c r="E119" s="66" t="s">
        <v>1634</v>
      </c>
      <c r="F119" s="231" t="s">
        <v>1995</v>
      </c>
      <c r="G119" s="364">
        <v>-49825.336020000046</v>
      </c>
      <c r="H119" t="s">
        <v>2580</v>
      </c>
      <c r="K119" s="415">
        <v>113</v>
      </c>
      <c r="L119" s="415">
        <v>122</v>
      </c>
      <c r="M119" s="415"/>
      <c r="N119" s="66" t="s">
        <v>1634</v>
      </c>
      <c r="O119" t="s">
        <v>1965</v>
      </c>
      <c r="P119" s="577">
        <v>172769.24</v>
      </c>
      <c r="Q119" s="577">
        <v>127184.29999999999</v>
      </c>
      <c r="R119" s="577">
        <v>0</v>
      </c>
      <c r="S119" s="577">
        <v>82713.72</v>
      </c>
      <c r="T119" s="577">
        <v>2.9103830456733704E-11</v>
      </c>
      <c r="U119" s="577">
        <v>0</v>
      </c>
      <c r="V119" s="200"/>
      <c r="W119" s="577">
        <v>12696.556020000004</v>
      </c>
      <c r="X119" s="590">
        <v>209898.02000000002</v>
      </c>
      <c r="Y119" s="577">
        <v>222594.57602000004</v>
      </c>
      <c r="Z119" s="577">
        <v>-49825.336020000046</v>
      </c>
      <c r="AA119" s="375">
        <f t="shared" si="1"/>
        <v>0</v>
      </c>
    </row>
    <row r="120" spans="3:27" ht="15">
      <c r="C120" s="415">
        <v>114</v>
      </c>
      <c r="D120" s="415">
        <v>122</v>
      </c>
      <c r="E120" s="66" t="s">
        <v>1509</v>
      </c>
      <c r="F120" t="s">
        <v>1598</v>
      </c>
      <c r="G120" s="364">
        <v>-94696.827280000027</v>
      </c>
      <c r="H120" t="s">
        <v>2580</v>
      </c>
      <c r="K120" s="415">
        <v>114</v>
      </c>
      <c r="L120" s="415">
        <v>123</v>
      </c>
      <c r="M120" s="415"/>
      <c r="N120" s="66" t="s">
        <v>1509</v>
      </c>
      <c r="O120" t="s">
        <v>2592</v>
      </c>
      <c r="P120" s="577">
        <v>311612.14</v>
      </c>
      <c r="Q120" s="577">
        <v>215429.69999999998</v>
      </c>
      <c r="R120" s="577">
        <v>0</v>
      </c>
      <c r="S120" s="577">
        <v>141182.89000000001</v>
      </c>
      <c r="T120" s="577">
        <v>5.8207660913467407E-11</v>
      </c>
      <c r="U120" s="577">
        <v>0</v>
      </c>
      <c r="V120" s="200"/>
      <c r="W120" s="577">
        <v>49696.377280000022</v>
      </c>
      <c r="X120" s="590">
        <v>356612.59</v>
      </c>
      <c r="Y120" s="577">
        <v>406308.96728000004</v>
      </c>
      <c r="Z120" s="577">
        <v>-94696.827280000027</v>
      </c>
      <c r="AA120" s="375">
        <f t="shared" si="1"/>
        <v>0</v>
      </c>
    </row>
    <row r="121" spans="3:27" ht="15">
      <c r="C121" s="415">
        <v>115</v>
      </c>
      <c r="D121" s="415">
        <v>123</v>
      </c>
      <c r="E121" s="66" t="s">
        <v>1576</v>
      </c>
      <c r="F121" t="s">
        <v>1590</v>
      </c>
      <c r="G121" s="364">
        <v>-38834.194370000012</v>
      </c>
      <c r="H121" t="s">
        <v>2580</v>
      </c>
      <c r="K121" s="415">
        <v>115</v>
      </c>
      <c r="L121" s="415">
        <v>212</v>
      </c>
      <c r="M121" s="415"/>
      <c r="N121" s="66" t="s">
        <v>1576</v>
      </c>
      <c r="O121" t="s">
        <v>1963</v>
      </c>
      <c r="P121" s="577">
        <v>238731.21</v>
      </c>
      <c r="Q121" s="577">
        <v>157426.28</v>
      </c>
      <c r="R121" s="577">
        <v>0</v>
      </c>
      <c r="S121" s="577">
        <v>104151.82</v>
      </c>
      <c r="T121" s="577">
        <v>0</v>
      </c>
      <c r="U121" s="577">
        <v>0</v>
      </c>
      <c r="V121" s="200"/>
      <c r="W121" s="577">
        <v>15987.304370000002</v>
      </c>
      <c r="X121" s="590">
        <v>261578.1</v>
      </c>
      <c r="Y121" s="577">
        <v>277565.40437</v>
      </c>
      <c r="Z121" s="577">
        <v>-38834.194370000012</v>
      </c>
      <c r="AA121" s="375">
        <f t="shared" si="1"/>
        <v>0</v>
      </c>
    </row>
    <row r="122" spans="3:27" ht="15">
      <c r="C122" s="415">
        <v>116</v>
      </c>
      <c r="D122" s="415">
        <v>58</v>
      </c>
      <c r="E122" s="66" t="s">
        <v>263</v>
      </c>
      <c r="F122" t="s">
        <v>872</v>
      </c>
      <c r="G122" s="364">
        <v>-115767.29146000001</v>
      </c>
      <c r="H122" t="s">
        <v>2580</v>
      </c>
      <c r="K122" s="415">
        <v>116</v>
      </c>
      <c r="L122" s="415">
        <v>58</v>
      </c>
      <c r="M122" s="415"/>
      <c r="N122" s="66" t="s">
        <v>263</v>
      </c>
      <c r="O122" t="s">
        <v>1711</v>
      </c>
      <c r="P122" s="577">
        <v>223001.28</v>
      </c>
      <c r="Q122" s="577">
        <v>79912.570000000007</v>
      </c>
      <c r="R122" s="577">
        <v>127204.35</v>
      </c>
      <c r="S122" s="577">
        <v>30753.37</v>
      </c>
      <c r="T122" s="577">
        <v>51676.23</v>
      </c>
      <c r="U122" s="577">
        <v>0</v>
      </c>
      <c r="V122" s="200"/>
      <c r="W122" s="577">
        <v>49222.051460000002</v>
      </c>
      <c r="X122" s="590">
        <v>289546.52</v>
      </c>
      <c r="Y122" s="577">
        <v>338768.57146000001</v>
      </c>
      <c r="Z122" s="577">
        <v>-115767.29146000001</v>
      </c>
      <c r="AA122" s="375">
        <f t="shared" si="1"/>
        <v>0</v>
      </c>
    </row>
    <row r="123" spans="3:27" ht="15">
      <c r="C123" s="415">
        <v>117</v>
      </c>
      <c r="D123" s="415">
        <v>236</v>
      </c>
      <c r="E123" s="66" t="s">
        <v>576</v>
      </c>
      <c r="F123" t="s">
        <v>1010</v>
      </c>
      <c r="G123" s="364">
        <v>-3422.9267040000013</v>
      </c>
      <c r="H123" t="s">
        <v>2580</v>
      </c>
      <c r="K123" s="415">
        <v>117</v>
      </c>
      <c r="L123" s="415">
        <v>236</v>
      </c>
      <c r="M123" s="415"/>
      <c r="N123" s="66" t="s">
        <v>576</v>
      </c>
      <c r="O123" t="s">
        <v>1870</v>
      </c>
      <c r="P123" s="577">
        <v>13808.29</v>
      </c>
      <c r="Q123" s="577">
        <v>15620.93</v>
      </c>
      <c r="R123" s="577">
        <v>0</v>
      </c>
      <c r="S123" s="577">
        <v>638.62</v>
      </c>
      <c r="T123" s="577">
        <v>450</v>
      </c>
      <c r="U123" s="577">
        <v>0</v>
      </c>
      <c r="V123" s="200"/>
      <c r="W123" s="577">
        <v>521.66670399999998</v>
      </c>
      <c r="X123" s="590">
        <v>16709.550000000003</v>
      </c>
      <c r="Y123" s="577">
        <v>17231.216704000002</v>
      </c>
      <c r="Z123" s="577">
        <v>-3422.9267040000013</v>
      </c>
      <c r="AA123" s="375">
        <f t="shared" si="1"/>
        <v>0</v>
      </c>
    </row>
    <row r="124" spans="3:27" ht="15">
      <c r="C124" s="415">
        <v>118</v>
      </c>
      <c r="D124" s="415">
        <v>261</v>
      </c>
      <c r="E124" s="66" t="s">
        <v>1378</v>
      </c>
      <c r="F124" s="579" t="s">
        <v>2619</v>
      </c>
      <c r="G124" s="364">
        <v>-46274.699238000016</v>
      </c>
      <c r="H124" t="s">
        <v>2580</v>
      </c>
      <c r="K124" s="415">
        <v>118</v>
      </c>
      <c r="L124" s="415">
        <v>111</v>
      </c>
      <c r="M124" s="415"/>
      <c r="N124" s="66" t="s">
        <v>1378</v>
      </c>
      <c r="O124" t="s">
        <v>2593</v>
      </c>
      <c r="P124" s="577">
        <v>125437.39</v>
      </c>
      <c r="Q124" s="577">
        <v>92915.98</v>
      </c>
      <c r="R124" s="577">
        <v>62088.18</v>
      </c>
      <c r="S124" s="577">
        <v>0</v>
      </c>
      <c r="T124" s="577">
        <v>0</v>
      </c>
      <c r="U124" s="577">
        <v>0</v>
      </c>
      <c r="V124" s="200"/>
      <c r="W124" s="577">
        <v>16707.929238000001</v>
      </c>
      <c r="X124" s="590">
        <v>155004.16</v>
      </c>
      <c r="Y124" s="577">
        <v>171712.08923800002</v>
      </c>
      <c r="Z124" s="577">
        <v>-46274.699238000016</v>
      </c>
      <c r="AA124" s="375">
        <f t="shared" si="1"/>
        <v>0</v>
      </c>
    </row>
    <row r="125" spans="3:27" ht="15">
      <c r="C125" s="415">
        <v>119</v>
      </c>
      <c r="D125" s="415">
        <v>111</v>
      </c>
      <c r="E125" s="66" t="s">
        <v>364</v>
      </c>
      <c r="F125" t="s">
        <v>920</v>
      </c>
      <c r="G125" s="364">
        <v>-2257608.4348165151</v>
      </c>
      <c r="H125" t="s">
        <v>2580</v>
      </c>
      <c r="K125" s="415">
        <v>119</v>
      </c>
      <c r="L125" s="415">
        <v>63</v>
      </c>
      <c r="M125" s="415"/>
      <c r="N125" s="66" t="s">
        <v>364</v>
      </c>
      <c r="O125" t="s">
        <v>1763</v>
      </c>
      <c r="P125" s="577">
        <v>6577402.7400000002</v>
      </c>
      <c r="Q125" s="577">
        <v>2481557.6689538946</v>
      </c>
      <c r="R125" s="577">
        <v>4981413.5201187264</v>
      </c>
      <c r="S125" s="577">
        <v>187734.87740274743</v>
      </c>
      <c r="T125" s="577">
        <v>157247.57973082128</v>
      </c>
      <c r="U125" s="577">
        <v>661.02379380934735</v>
      </c>
      <c r="V125" s="200"/>
      <c r="W125" s="577">
        <v>1026396.5048165171</v>
      </c>
      <c r="X125" s="590">
        <v>7808614.6699999981</v>
      </c>
      <c r="Y125" s="577">
        <v>8835011.1748165153</v>
      </c>
      <c r="Z125" s="577">
        <v>-2257608.4348165151</v>
      </c>
      <c r="AA125" s="375">
        <f t="shared" si="1"/>
        <v>0</v>
      </c>
    </row>
    <row r="126" spans="3:27" ht="15">
      <c r="C126" s="415">
        <v>120</v>
      </c>
      <c r="D126" s="415">
        <v>63</v>
      </c>
      <c r="E126" s="66" t="s">
        <v>273</v>
      </c>
      <c r="F126" t="s">
        <v>876</v>
      </c>
      <c r="G126" s="364">
        <v>-103364.00183000004</v>
      </c>
      <c r="H126" t="s">
        <v>2580</v>
      </c>
      <c r="K126" s="415">
        <v>120</v>
      </c>
      <c r="L126" s="415">
        <v>46</v>
      </c>
      <c r="M126" s="415"/>
      <c r="N126" s="66" t="s">
        <v>273</v>
      </c>
      <c r="O126" t="s">
        <v>1716</v>
      </c>
      <c r="P126" s="577">
        <v>70063.199999999997</v>
      </c>
      <c r="Q126" s="577">
        <v>22844.69</v>
      </c>
      <c r="R126" s="577">
        <v>60803.53</v>
      </c>
      <c r="S126" s="577">
        <v>2838.24</v>
      </c>
      <c r="T126" s="577">
        <v>10760.68</v>
      </c>
      <c r="U126" s="577">
        <v>43934.04</v>
      </c>
      <c r="V126" s="200"/>
      <c r="W126" s="577">
        <v>32246.021829999998</v>
      </c>
      <c r="X126" s="590">
        <v>141181.18000000002</v>
      </c>
      <c r="Y126" s="577">
        <v>173427.20183000003</v>
      </c>
      <c r="Z126" s="577">
        <v>-103364.00183000004</v>
      </c>
      <c r="AA126" s="375">
        <f t="shared" si="1"/>
        <v>0</v>
      </c>
    </row>
    <row r="127" spans="3:27" ht="15">
      <c r="C127" s="415">
        <v>121</v>
      </c>
      <c r="D127" s="415">
        <v>46</v>
      </c>
      <c r="E127" s="66" t="s">
        <v>239</v>
      </c>
      <c r="F127" t="s">
        <v>860</v>
      </c>
      <c r="G127" s="364">
        <v>-215436.84399500012</v>
      </c>
      <c r="H127" t="s">
        <v>2580</v>
      </c>
      <c r="K127" s="415">
        <v>121</v>
      </c>
      <c r="L127" s="415">
        <v>55</v>
      </c>
      <c r="M127" s="415"/>
      <c r="N127" s="66" t="s">
        <v>239</v>
      </c>
      <c r="O127" t="s">
        <v>1699</v>
      </c>
      <c r="P127" s="577">
        <v>545115.41</v>
      </c>
      <c r="Q127" s="577">
        <v>243904.36</v>
      </c>
      <c r="R127" s="577">
        <v>411600.43000000005</v>
      </c>
      <c r="S127" s="577">
        <v>23832.620000000003</v>
      </c>
      <c r="T127" s="577">
        <v>5.8207660913467407E-11</v>
      </c>
      <c r="U127" s="577">
        <v>267.83999999999997</v>
      </c>
      <c r="V127" s="497"/>
      <c r="W127" s="577">
        <v>80947.003995000021</v>
      </c>
      <c r="X127" s="590">
        <v>679605.25000000012</v>
      </c>
      <c r="Y127" s="577">
        <v>760552.25399500015</v>
      </c>
      <c r="Z127" s="577">
        <v>-215436.84399500012</v>
      </c>
      <c r="AA127" s="375">
        <f t="shared" si="1"/>
        <v>0</v>
      </c>
    </row>
    <row r="128" spans="3:27" ht="15">
      <c r="C128" s="415">
        <v>122</v>
      </c>
      <c r="D128" s="415">
        <v>55</v>
      </c>
      <c r="E128" s="66" t="s">
        <v>257</v>
      </c>
      <c r="F128" t="s">
        <v>869</v>
      </c>
      <c r="G128" s="364">
        <v>-65751.627088000008</v>
      </c>
      <c r="H128" t="s">
        <v>2580</v>
      </c>
      <c r="K128" s="415">
        <v>122</v>
      </c>
      <c r="L128" s="415">
        <v>48</v>
      </c>
      <c r="M128" s="415"/>
      <c r="N128" s="66" t="s">
        <v>257</v>
      </c>
      <c r="O128" t="s">
        <v>1708</v>
      </c>
      <c r="P128" s="577">
        <v>34923.81</v>
      </c>
      <c r="Q128" s="577">
        <v>26549.9</v>
      </c>
      <c r="R128" s="577">
        <v>55424.350000000006</v>
      </c>
      <c r="S128" s="577">
        <v>1201.9100000000001</v>
      </c>
      <c r="T128" s="577">
        <v>10</v>
      </c>
      <c r="U128" s="577">
        <v>0</v>
      </c>
      <c r="V128" s="200"/>
      <c r="W128" s="577">
        <v>17489.277088000003</v>
      </c>
      <c r="X128" s="590">
        <v>83186.16</v>
      </c>
      <c r="Y128" s="577">
        <v>100675.43708800001</v>
      </c>
      <c r="Z128" s="577">
        <v>-65751.627088000008</v>
      </c>
      <c r="AA128" s="375">
        <f t="shared" si="1"/>
        <v>0</v>
      </c>
    </row>
    <row r="129" spans="3:27" ht="15">
      <c r="C129" s="415">
        <v>123</v>
      </c>
      <c r="D129" s="415">
        <v>48</v>
      </c>
      <c r="E129" s="66" t="s">
        <v>243</v>
      </c>
      <c r="F129" t="s">
        <v>862</v>
      </c>
      <c r="G129" s="364">
        <v>-540244.14364884514</v>
      </c>
      <c r="H129" t="s">
        <v>2580</v>
      </c>
      <c r="K129" s="415">
        <v>123</v>
      </c>
      <c r="L129" s="415">
        <v>8</v>
      </c>
      <c r="M129" s="415"/>
      <c r="N129" s="66" t="s">
        <v>243</v>
      </c>
      <c r="O129" t="s">
        <v>1701</v>
      </c>
      <c r="P129" s="577">
        <v>3896511.12</v>
      </c>
      <c r="Q129" s="577">
        <v>1762844.7370255236</v>
      </c>
      <c r="R129" s="577">
        <v>2028474.90848913</v>
      </c>
      <c r="S129" s="577">
        <v>259484.38556021865</v>
      </c>
      <c r="T129" s="577">
        <v>47394.084817595154</v>
      </c>
      <c r="U129" s="577">
        <v>14643.634107532967</v>
      </c>
      <c r="V129" s="200"/>
      <c r="W129" s="577">
        <v>323913.51364884508</v>
      </c>
      <c r="X129" s="590">
        <v>4112841.7500000005</v>
      </c>
      <c r="Y129" s="577">
        <v>4436755.2636488453</v>
      </c>
      <c r="Z129" s="577">
        <v>-540244.14364884514</v>
      </c>
      <c r="AA129" s="375">
        <f t="shared" si="1"/>
        <v>0</v>
      </c>
    </row>
    <row r="130" spans="3:27" ht="15">
      <c r="C130" s="415">
        <v>124</v>
      </c>
      <c r="D130" s="415">
        <v>8</v>
      </c>
      <c r="E130" s="66" t="s">
        <v>177</v>
      </c>
      <c r="F130" t="s">
        <v>833</v>
      </c>
      <c r="G130" s="364">
        <v>697843.74184077792</v>
      </c>
      <c r="H130" t="s">
        <v>2580</v>
      </c>
      <c r="K130" s="415">
        <v>124</v>
      </c>
      <c r="L130" s="415">
        <v>114</v>
      </c>
      <c r="M130" s="415"/>
      <c r="N130" s="66" t="s">
        <v>177</v>
      </c>
      <c r="O130" t="s">
        <v>1666</v>
      </c>
      <c r="P130" s="577">
        <v>14266256.140000001</v>
      </c>
      <c r="Q130" s="577">
        <v>4577010.7053737575</v>
      </c>
      <c r="R130" s="577">
        <v>6855983.6502548568</v>
      </c>
      <c r="S130" s="577">
        <v>271101.77865661262</v>
      </c>
      <c r="T130" s="577">
        <v>1058822.8857147738</v>
      </c>
      <c r="U130" s="577">
        <v>0</v>
      </c>
      <c r="V130" s="200"/>
      <c r="W130" s="577">
        <v>805493.37815922243</v>
      </c>
      <c r="X130" s="590">
        <v>12762919.02</v>
      </c>
      <c r="Y130" s="577">
        <v>13568412.398159223</v>
      </c>
      <c r="Z130" s="577">
        <v>697843.74184077792</v>
      </c>
      <c r="AA130" s="375">
        <f t="shared" si="1"/>
        <v>0</v>
      </c>
    </row>
    <row r="131" spans="3:27" ht="15">
      <c r="C131" s="415">
        <v>125</v>
      </c>
      <c r="D131" s="415">
        <v>114</v>
      </c>
      <c r="E131" s="66" t="s">
        <v>370</v>
      </c>
      <c r="F131" t="s">
        <v>923</v>
      </c>
      <c r="G131" s="364">
        <v>-916037.33644366637</v>
      </c>
      <c r="H131" t="s">
        <v>2580</v>
      </c>
      <c r="K131" s="415">
        <v>125</v>
      </c>
      <c r="L131" s="415">
        <v>273</v>
      </c>
      <c r="M131" s="415"/>
      <c r="N131" s="66" t="s">
        <v>370</v>
      </c>
      <c r="O131" t="s">
        <v>1766</v>
      </c>
      <c r="P131" s="577">
        <v>15255389.060000001</v>
      </c>
      <c r="Q131" s="577">
        <v>6258319.5588766923</v>
      </c>
      <c r="R131" s="577">
        <v>7470026.1282036668</v>
      </c>
      <c r="S131" s="577">
        <v>533451.68050635781</v>
      </c>
      <c r="T131" s="577">
        <v>396468.89426111476</v>
      </c>
      <c r="U131" s="577">
        <v>485006.65815216774</v>
      </c>
      <c r="V131" s="497"/>
      <c r="W131" s="577">
        <v>1028153.4764436674</v>
      </c>
      <c r="X131" s="590">
        <v>15143272.92</v>
      </c>
      <c r="Y131" s="577">
        <v>16171426.396443667</v>
      </c>
      <c r="Z131" s="577">
        <v>-916037.33644366637</v>
      </c>
      <c r="AA131" s="375">
        <f t="shared" si="1"/>
        <v>0</v>
      </c>
    </row>
    <row r="132" spans="3:27" ht="15">
      <c r="C132" s="415">
        <v>126</v>
      </c>
      <c r="D132" s="415">
        <v>273</v>
      </c>
      <c r="E132" s="66" t="s">
        <v>638</v>
      </c>
      <c r="F132" t="s">
        <v>1036</v>
      </c>
      <c r="G132" s="364">
        <v>-183563.61718000006</v>
      </c>
      <c r="H132" t="s">
        <v>2580</v>
      </c>
      <c r="K132" s="415">
        <v>126</v>
      </c>
      <c r="L132" s="415">
        <v>10</v>
      </c>
      <c r="M132" s="415"/>
      <c r="N132" s="66" t="s">
        <v>638</v>
      </c>
      <c r="O132" t="s">
        <v>1903</v>
      </c>
      <c r="P132" s="577">
        <v>606458.68000000005</v>
      </c>
      <c r="Q132" s="577">
        <v>388430.03</v>
      </c>
      <c r="R132" s="577">
        <v>305656.58999999997</v>
      </c>
      <c r="S132" s="577">
        <v>8966.43</v>
      </c>
      <c r="T132" s="577">
        <v>11238.93</v>
      </c>
      <c r="U132" s="577">
        <v>0</v>
      </c>
      <c r="V132" s="497"/>
      <c r="W132" s="577">
        <v>75730.317179999984</v>
      </c>
      <c r="X132" s="590">
        <v>714291.9800000001</v>
      </c>
      <c r="Y132" s="577">
        <v>790022.29718000011</v>
      </c>
      <c r="Z132" s="577">
        <v>-183563.61718000006</v>
      </c>
      <c r="AA132" s="375">
        <f t="shared" si="1"/>
        <v>0</v>
      </c>
    </row>
    <row r="133" spans="3:27" ht="15">
      <c r="C133" s="415">
        <v>127</v>
      </c>
      <c r="D133" s="415">
        <v>10</v>
      </c>
      <c r="E133" s="66" t="s">
        <v>181</v>
      </c>
      <c r="F133" t="s">
        <v>1609</v>
      </c>
      <c r="G133" s="364">
        <v>-147663.31285300001</v>
      </c>
      <c r="H133" t="s">
        <v>2580</v>
      </c>
      <c r="K133" s="415">
        <v>127</v>
      </c>
      <c r="L133" s="415">
        <v>138</v>
      </c>
      <c r="M133" s="415"/>
      <c r="N133" s="66" t="s">
        <v>181</v>
      </c>
      <c r="O133" t="s">
        <v>1668</v>
      </c>
      <c r="P133" s="577">
        <v>943764.34</v>
      </c>
      <c r="Q133" s="577">
        <v>458559.79</v>
      </c>
      <c r="R133" s="577">
        <v>499650.19999999995</v>
      </c>
      <c r="S133" s="577">
        <v>24090.95</v>
      </c>
      <c r="T133" s="577">
        <v>4132.62</v>
      </c>
      <c r="U133" s="577">
        <v>0</v>
      </c>
      <c r="V133" s="497"/>
      <c r="W133" s="577">
        <v>104994.09285299999</v>
      </c>
      <c r="X133" s="590">
        <v>986433.55999999994</v>
      </c>
      <c r="Y133" s="577">
        <v>1091427.652853</v>
      </c>
      <c r="Z133" s="577">
        <v>-147663.31285300001</v>
      </c>
      <c r="AA133" s="375">
        <f t="shared" si="1"/>
        <v>0</v>
      </c>
    </row>
    <row r="134" spans="3:27" ht="15">
      <c r="C134" s="415">
        <v>128</v>
      </c>
      <c r="D134" s="415">
        <v>138</v>
      </c>
      <c r="E134" s="66" t="s">
        <v>392</v>
      </c>
      <c r="F134" t="s">
        <v>932</v>
      </c>
      <c r="G134" s="364">
        <v>-90192.960781999922</v>
      </c>
      <c r="H134" t="s">
        <v>2580</v>
      </c>
      <c r="K134" s="415">
        <v>128</v>
      </c>
      <c r="L134" s="415">
        <v>145</v>
      </c>
      <c r="M134" s="415"/>
      <c r="N134" s="66" t="s">
        <v>392</v>
      </c>
      <c r="O134" t="s">
        <v>1779</v>
      </c>
      <c r="P134" s="577">
        <v>425747.31</v>
      </c>
      <c r="Q134" s="577">
        <v>199804.4</v>
      </c>
      <c r="R134" s="577">
        <v>173281.58000000002</v>
      </c>
      <c r="S134" s="577">
        <v>59.85</v>
      </c>
      <c r="T134" s="577">
        <v>31171.360000000001</v>
      </c>
      <c r="U134" s="577">
        <v>0</v>
      </c>
      <c r="V134" s="200"/>
      <c r="W134" s="577">
        <v>111623.080782</v>
      </c>
      <c r="X134" s="590">
        <v>404317.18999999994</v>
      </c>
      <c r="Y134" s="577">
        <v>515940.27078199992</v>
      </c>
      <c r="Z134" s="577">
        <v>-90192.960781999922</v>
      </c>
      <c r="AA134" s="375">
        <f t="shared" si="1"/>
        <v>0</v>
      </c>
    </row>
    <row r="135" spans="3:27" ht="15">
      <c r="C135" s="415">
        <v>129</v>
      </c>
      <c r="D135" s="415">
        <v>145</v>
      </c>
      <c r="E135" s="66" t="s">
        <v>406</v>
      </c>
      <c r="F135" t="s">
        <v>407</v>
      </c>
      <c r="G135" s="364">
        <v>-97155.449097999983</v>
      </c>
      <c r="H135" t="s">
        <v>2580</v>
      </c>
      <c r="K135" s="415">
        <v>129</v>
      </c>
      <c r="L135" s="415">
        <v>222</v>
      </c>
      <c r="M135" s="415"/>
      <c r="N135" s="66" t="s">
        <v>406</v>
      </c>
      <c r="O135" t="s">
        <v>1786</v>
      </c>
      <c r="P135" s="577">
        <v>91331.9</v>
      </c>
      <c r="Q135" s="577">
        <v>51493.23</v>
      </c>
      <c r="R135" s="577">
        <v>92245.87999999999</v>
      </c>
      <c r="S135" s="577">
        <v>1591.69</v>
      </c>
      <c r="T135" s="577">
        <v>550</v>
      </c>
      <c r="U135" s="577">
        <v>0</v>
      </c>
      <c r="V135" s="200"/>
      <c r="W135" s="577">
        <v>42606.549097999996</v>
      </c>
      <c r="X135" s="590">
        <v>145880.79999999999</v>
      </c>
      <c r="Y135" s="577">
        <v>188487.34909799998</v>
      </c>
      <c r="Z135" s="577">
        <v>-97155.449097999983</v>
      </c>
      <c r="AA135" s="375">
        <f t="shared" si="1"/>
        <v>0</v>
      </c>
    </row>
    <row r="136" spans="3:27" ht="15">
      <c r="C136" s="415">
        <v>130</v>
      </c>
      <c r="D136" s="415">
        <v>31</v>
      </c>
      <c r="E136" s="66" t="s">
        <v>217</v>
      </c>
      <c r="F136" t="s">
        <v>1553</v>
      </c>
      <c r="G136" s="364">
        <v>-177185.056048</v>
      </c>
      <c r="H136" t="s">
        <v>2580</v>
      </c>
      <c r="K136" s="415">
        <v>130</v>
      </c>
      <c r="L136" s="415">
        <v>31</v>
      </c>
      <c r="M136" s="415"/>
      <c r="N136" s="66" t="s">
        <v>217</v>
      </c>
      <c r="O136" t="s">
        <v>2594</v>
      </c>
      <c r="P136" s="577">
        <v>583844.1</v>
      </c>
      <c r="Q136" s="577">
        <v>234122.27</v>
      </c>
      <c r="R136" s="577">
        <v>421986.87</v>
      </c>
      <c r="S136" s="577">
        <v>14625.25</v>
      </c>
      <c r="T136" s="577">
        <v>7885</v>
      </c>
      <c r="U136" s="577">
        <v>0</v>
      </c>
      <c r="V136" s="200"/>
      <c r="W136" s="577">
        <v>82409.766048000005</v>
      </c>
      <c r="X136" s="590">
        <v>678619.39</v>
      </c>
      <c r="Y136" s="577">
        <v>761029.15604799998</v>
      </c>
      <c r="Z136" s="577">
        <v>-177185.056048</v>
      </c>
      <c r="AA136" s="375">
        <f t="shared" ref="AA136:AA199" si="2">+G136-Z136</f>
        <v>0</v>
      </c>
    </row>
    <row r="137" spans="3:27" ht="15">
      <c r="C137" s="415">
        <v>131</v>
      </c>
      <c r="D137" s="415">
        <v>222</v>
      </c>
      <c r="E137" s="66" t="s">
        <v>550</v>
      </c>
      <c r="F137" t="s">
        <v>1000</v>
      </c>
      <c r="G137" s="364">
        <v>-155127.04719999997</v>
      </c>
      <c r="H137" t="s">
        <v>2580</v>
      </c>
      <c r="K137" s="415">
        <v>131</v>
      </c>
      <c r="L137" s="415">
        <v>301</v>
      </c>
      <c r="M137" s="415"/>
      <c r="N137" s="66" t="s">
        <v>550</v>
      </c>
      <c r="O137" t="s">
        <v>1857</v>
      </c>
      <c r="P137" s="577">
        <v>390015.93</v>
      </c>
      <c r="Q137" s="577">
        <v>187963.57</v>
      </c>
      <c r="R137" s="577">
        <v>271812.78999999998</v>
      </c>
      <c r="S137" s="577">
        <v>9766.2099999999991</v>
      </c>
      <c r="T137" s="577">
        <v>1627</v>
      </c>
      <c r="U137" s="577">
        <v>0</v>
      </c>
      <c r="V137" s="200"/>
      <c r="W137" s="577">
        <v>73973.407200000001</v>
      </c>
      <c r="X137" s="590">
        <v>471169.57</v>
      </c>
      <c r="Y137" s="577">
        <v>545142.97719999996</v>
      </c>
      <c r="Z137" s="577">
        <v>-155127.04719999997</v>
      </c>
      <c r="AA137" s="375">
        <f t="shared" si="2"/>
        <v>0</v>
      </c>
    </row>
    <row r="138" spans="3:27" ht="15">
      <c r="C138" s="415">
        <v>132</v>
      </c>
      <c r="D138" s="415">
        <v>301</v>
      </c>
      <c r="E138" s="414" t="s">
        <v>685</v>
      </c>
      <c r="F138" s="340" t="s">
        <v>686</v>
      </c>
      <c r="G138" s="364">
        <v>-121465.51000000001</v>
      </c>
      <c r="H138" t="s">
        <v>2580</v>
      </c>
      <c r="K138" s="415">
        <v>132</v>
      </c>
      <c r="L138" s="415">
        <v>17</v>
      </c>
      <c r="M138" s="415"/>
      <c r="N138" s="414" t="s">
        <v>685</v>
      </c>
      <c r="O138" s="79" t="s">
        <v>2324</v>
      </c>
      <c r="P138" s="578">
        <v>17086.310000000001</v>
      </c>
      <c r="Q138" s="578">
        <v>38439.64</v>
      </c>
      <c r="R138" s="578">
        <v>79485.649999999994</v>
      </c>
      <c r="S138" s="578"/>
      <c r="T138" s="578"/>
      <c r="U138" s="578"/>
      <c r="V138" s="497"/>
      <c r="W138" s="578">
        <v>20626.53</v>
      </c>
      <c r="X138" s="578">
        <v>117925.29</v>
      </c>
      <c r="Y138" s="578">
        <v>138551.82</v>
      </c>
      <c r="Z138" s="578">
        <v>-121465.51000000001</v>
      </c>
      <c r="AA138" s="375">
        <f t="shared" si="2"/>
        <v>0</v>
      </c>
    </row>
    <row r="139" spans="3:27" ht="15">
      <c r="C139" s="415">
        <v>133</v>
      </c>
      <c r="D139" s="415">
        <v>17</v>
      </c>
      <c r="E139" s="66" t="s">
        <v>195</v>
      </c>
      <c r="F139" t="s">
        <v>840</v>
      </c>
      <c r="G139" s="364">
        <v>-201471.50322499988</v>
      </c>
      <c r="H139" t="s">
        <v>2580</v>
      </c>
      <c r="K139" s="415">
        <v>133</v>
      </c>
      <c r="L139" s="415">
        <v>231</v>
      </c>
      <c r="M139" s="415"/>
      <c r="N139" s="66" t="s">
        <v>195</v>
      </c>
      <c r="O139" t="s">
        <v>1675</v>
      </c>
      <c r="P139" s="577">
        <v>974398.05</v>
      </c>
      <c r="Q139" s="577">
        <v>440918.16</v>
      </c>
      <c r="R139" s="577">
        <v>592721.09000000008</v>
      </c>
      <c r="S139" s="577">
        <v>16394.989999999998</v>
      </c>
      <c r="T139" s="577">
        <v>30806.77</v>
      </c>
      <c r="U139" s="577">
        <v>0</v>
      </c>
      <c r="V139" s="200"/>
      <c r="W139" s="577">
        <v>95028.543225000016</v>
      </c>
      <c r="X139" s="590">
        <v>1080841.01</v>
      </c>
      <c r="Y139" s="577">
        <v>1175869.5532249999</v>
      </c>
      <c r="Z139" s="577">
        <v>-201471.50322499988</v>
      </c>
      <c r="AA139" s="375">
        <f t="shared" si="2"/>
        <v>0</v>
      </c>
    </row>
    <row r="140" spans="3:27" ht="15">
      <c r="C140" s="415">
        <v>134</v>
      </c>
      <c r="D140" s="415">
        <v>231</v>
      </c>
      <c r="E140" s="66" t="s">
        <v>566</v>
      </c>
      <c r="F140" t="s">
        <v>1005</v>
      </c>
      <c r="G140" s="364">
        <v>-1617157.8808501158</v>
      </c>
      <c r="H140" t="s">
        <v>2580</v>
      </c>
      <c r="K140" s="415">
        <v>134</v>
      </c>
      <c r="L140" s="415">
        <v>113</v>
      </c>
      <c r="M140" s="415"/>
      <c r="N140" s="66" t="s">
        <v>566</v>
      </c>
      <c r="O140" t="s">
        <v>1865</v>
      </c>
      <c r="P140" s="577">
        <v>4384234.5599999996</v>
      </c>
      <c r="Q140" s="577">
        <v>2349385.5831255643</v>
      </c>
      <c r="R140" s="577">
        <v>3016160.7745395699</v>
      </c>
      <c r="S140" s="577">
        <v>108444.42379996504</v>
      </c>
      <c r="T140" s="577">
        <v>34784.23682689511</v>
      </c>
      <c r="U140" s="577">
        <v>44300.061708005589</v>
      </c>
      <c r="V140" s="200"/>
      <c r="W140" s="577">
        <v>448317.36085011641</v>
      </c>
      <c r="X140" s="590">
        <v>5553075.0799999991</v>
      </c>
      <c r="Y140" s="577">
        <v>6001392.4408501154</v>
      </c>
      <c r="Z140" s="577">
        <v>-1617157.8808501158</v>
      </c>
      <c r="AA140" s="375">
        <f t="shared" si="2"/>
        <v>0</v>
      </c>
    </row>
    <row r="141" spans="3:27" ht="15">
      <c r="C141" s="415">
        <v>135</v>
      </c>
      <c r="D141" s="415">
        <v>113</v>
      </c>
      <c r="E141" s="66" t="s">
        <v>368</v>
      </c>
      <c r="F141" t="s">
        <v>922</v>
      </c>
      <c r="G141" s="364">
        <v>-1088089.6548000593</v>
      </c>
      <c r="H141" t="s">
        <v>2580</v>
      </c>
      <c r="K141" s="415">
        <v>135</v>
      </c>
      <c r="L141" s="415">
        <v>239</v>
      </c>
      <c r="M141" s="415"/>
      <c r="N141" s="66" t="s">
        <v>368</v>
      </c>
      <c r="O141" t="s">
        <v>1765</v>
      </c>
      <c r="P141" s="577">
        <v>9333841.7799999993</v>
      </c>
      <c r="Q141" s="577">
        <v>3817313.2455855664</v>
      </c>
      <c r="R141" s="577">
        <v>4048835.8251497736</v>
      </c>
      <c r="S141" s="577">
        <v>672620.43032834877</v>
      </c>
      <c r="T141" s="577">
        <v>1171741.8427615159</v>
      </c>
      <c r="U141" s="577">
        <v>75544.016174794859</v>
      </c>
      <c r="V141" s="498"/>
      <c r="W141" s="577">
        <v>635876.07480005687</v>
      </c>
      <c r="X141" s="590">
        <v>9786055.3600000013</v>
      </c>
      <c r="Y141" s="577">
        <v>10421931.434800059</v>
      </c>
      <c r="Z141" s="577">
        <v>-1088089.6548000593</v>
      </c>
      <c r="AA141" s="375">
        <f t="shared" si="2"/>
        <v>0</v>
      </c>
    </row>
    <row r="142" spans="3:27" ht="15">
      <c r="C142" s="415">
        <v>136</v>
      </c>
      <c r="D142" s="415">
        <v>239</v>
      </c>
      <c r="E142" s="66" t="s">
        <v>582</v>
      </c>
      <c r="F142" t="s">
        <v>1013</v>
      </c>
      <c r="G142" s="364">
        <v>-370644.70618500025</v>
      </c>
      <c r="H142" t="s">
        <v>2580</v>
      </c>
      <c r="K142" s="415">
        <v>136</v>
      </c>
      <c r="L142" s="415">
        <v>302</v>
      </c>
      <c r="M142" s="415"/>
      <c r="N142" s="66" t="s">
        <v>582</v>
      </c>
      <c r="O142" t="s">
        <v>1873</v>
      </c>
      <c r="P142" s="577">
        <v>1418592.52</v>
      </c>
      <c r="Q142" s="577">
        <v>525011.29</v>
      </c>
      <c r="R142" s="577">
        <v>1009308.6300000001</v>
      </c>
      <c r="S142" s="577">
        <v>36586.71</v>
      </c>
      <c r="T142" s="577">
        <v>53197.990000000013</v>
      </c>
      <c r="U142" s="577">
        <v>6313.62</v>
      </c>
      <c r="V142" s="200"/>
      <c r="W142" s="577">
        <v>158818.98618499999</v>
      </c>
      <c r="X142" s="590">
        <v>1630418.2400000002</v>
      </c>
      <c r="Y142" s="577">
        <v>1789237.2261850003</v>
      </c>
      <c r="Z142" s="577">
        <v>-370644.70618500025</v>
      </c>
      <c r="AA142" s="375">
        <f t="shared" si="2"/>
        <v>0</v>
      </c>
    </row>
    <row r="143" spans="3:27" ht="15">
      <c r="C143" s="415">
        <v>137</v>
      </c>
      <c r="D143" s="415">
        <v>302</v>
      </c>
      <c r="E143" s="66" t="s">
        <v>687</v>
      </c>
      <c r="F143" t="s">
        <v>1059</v>
      </c>
      <c r="G143" s="364">
        <v>-35271.342923000004</v>
      </c>
      <c r="H143" t="s">
        <v>2580</v>
      </c>
      <c r="K143" s="415">
        <v>137</v>
      </c>
      <c r="L143" s="415">
        <v>254</v>
      </c>
      <c r="M143" s="415"/>
      <c r="N143" s="66" t="s">
        <v>687</v>
      </c>
      <c r="O143" t="s">
        <v>1930</v>
      </c>
      <c r="P143" s="577">
        <v>44423.5</v>
      </c>
      <c r="Q143" s="577">
        <v>24442.91</v>
      </c>
      <c r="R143" s="577">
        <v>23921.08</v>
      </c>
      <c r="S143" s="577">
        <v>679.03</v>
      </c>
      <c r="T143" s="577">
        <v>5495.32</v>
      </c>
      <c r="U143" s="577">
        <v>8119.48</v>
      </c>
      <c r="V143" s="200"/>
      <c r="W143" s="577">
        <v>17037.022923</v>
      </c>
      <c r="X143" s="590">
        <v>62657.820000000007</v>
      </c>
      <c r="Y143" s="577">
        <v>79694.842923000004</v>
      </c>
      <c r="Z143" s="577">
        <v>-35271.342923000004</v>
      </c>
      <c r="AA143" s="375">
        <f t="shared" si="2"/>
        <v>0</v>
      </c>
    </row>
    <row r="144" spans="3:27" ht="15">
      <c r="C144" s="415">
        <v>138</v>
      </c>
      <c r="D144" s="415">
        <v>254</v>
      </c>
      <c r="E144" s="66" t="s">
        <v>611</v>
      </c>
      <c r="F144" t="s">
        <v>1024</v>
      </c>
      <c r="G144" s="364">
        <v>-54376.246579999977</v>
      </c>
      <c r="H144" t="s">
        <v>2580</v>
      </c>
      <c r="K144" s="415">
        <v>138</v>
      </c>
      <c r="L144" s="415">
        <v>4</v>
      </c>
      <c r="M144" s="415"/>
      <c r="N144" s="66" t="s">
        <v>611</v>
      </c>
      <c r="O144" t="s">
        <v>1888</v>
      </c>
      <c r="P144" s="577">
        <v>419909.42</v>
      </c>
      <c r="Q144" s="577">
        <v>200075.62</v>
      </c>
      <c r="R144" s="577">
        <v>203735.33</v>
      </c>
      <c r="S144" s="577">
        <v>5637.68</v>
      </c>
      <c r="T144" s="577">
        <v>8600</v>
      </c>
      <c r="U144" s="577">
        <v>0</v>
      </c>
      <c r="V144" s="200"/>
      <c r="W144" s="577">
        <v>56237.03658</v>
      </c>
      <c r="X144" s="590">
        <v>418048.62999999995</v>
      </c>
      <c r="Y144" s="577">
        <v>474285.66657999996</v>
      </c>
      <c r="Z144" s="577">
        <v>-54376.246579999977</v>
      </c>
      <c r="AA144" s="375">
        <f t="shared" si="2"/>
        <v>0</v>
      </c>
    </row>
    <row r="145" spans="3:27" ht="15">
      <c r="C145" s="415">
        <v>139</v>
      </c>
      <c r="D145" s="415">
        <v>4</v>
      </c>
      <c r="E145" s="66" t="s">
        <v>169</v>
      </c>
      <c r="F145" t="s">
        <v>830</v>
      </c>
      <c r="G145" s="364">
        <v>-68248.680185999983</v>
      </c>
      <c r="H145" t="s">
        <v>2580</v>
      </c>
      <c r="K145" s="415">
        <v>139</v>
      </c>
      <c r="L145" s="415">
        <v>43</v>
      </c>
      <c r="M145" s="415"/>
      <c r="N145" s="66" t="s">
        <v>169</v>
      </c>
      <c r="O145" t="s">
        <v>1662</v>
      </c>
      <c r="P145" s="577">
        <v>174344.17</v>
      </c>
      <c r="Q145" s="577">
        <v>103687.34</v>
      </c>
      <c r="R145" s="577">
        <v>113772.10999999999</v>
      </c>
      <c r="S145" s="577">
        <v>8866.1</v>
      </c>
      <c r="T145" s="577">
        <v>658</v>
      </c>
      <c r="U145" s="577">
        <v>0</v>
      </c>
      <c r="V145" s="200"/>
      <c r="W145" s="577">
        <v>15609.300185999999</v>
      </c>
      <c r="X145" s="590">
        <v>226983.55</v>
      </c>
      <c r="Y145" s="577">
        <v>242592.850186</v>
      </c>
      <c r="Z145" s="577">
        <v>-68248.680185999983</v>
      </c>
      <c r="AA145" s="375">
        <f t="shared" si="2"/>
        <v>0</v>
      </c>
    </row>
    <row r="146" spans="3:27" ht="15">
      <c r="C146" s="415">
        <v>140</v>
      </c>
      <c r="D146" s="415">
        <v>43</v>
      </c>
      <c r="E146" s="66" t="s">
        <v>233</v>
      </c>
      <c r="F146" t="s">
        <v>857</v>
      </c>
      <c r="G146" s="364">
        <v>-350690.18780873297</v>
      </c>
      <c r="H146" t="s">
        <v>2580</v>
      </c>
      <c r="K146" s="415">
        <v>140</v>
      </c>
      <c r="L146" s="415">
        <v>267</v>
      </c>
      <c r="M146" s="415"/>
      <c r="N146" s="66" t="s">
        <v>233</v>
      </c>
      <c r="O146" t="s">
        <v>1696</v>
      </c>
      <c r="P146" s="577">
        <v>4071439.77</v>
      </c>
      <c r="Q146" s="577">
        <v>1537003.4623068769</v>
      </c>
      <c r="R146" s="577">
        <v>2186803.3314672569</v>
      </c>
      <c r="S146" s="577">
        <v>218388.81244581557</v>
      </c>
      <c r="T146" s="577">
        <v>30585.706378476683</v>
      </c>
      <c r="U146" s="577">
        <v>434.78740157404468</v>
      </c>
      <c r="V146" s="200"/>
      <c r="W146" s="577">
        <v>448913.85780873249</v>
      </c>
      <c r="X146" s="590">
        <v>3973216.1</v>
      </c>
      <c r="Y146" s="577">
        <v>4422129.957808733</v>
      </c>
      <c r="Z146" s="577">
        <v>-350690.18780873297</v>
      </c>
      <c r="AA146" s="375">
        <f t="shared" si="2"/>
        <v>0</v>
      </c>
    </row>
    <row r="147" spans="3:27" ht="15">
      <c r="C147" s="415">
        <v>141</v>
      </c>
      <c r="D147" s="415">
        <v>267</v>
      </c>
      <c r="E147" s="66" t="s">
        <v>628</v>
      </c>
      <c r="F147" t="s">
        <v>1032</v>
      </c>
      <c r="G147" s="364">
        <v>-173311.92041999995</v>
      </c>
      <c r="H147" t="s">
        <v>2580</v>
      </c>
      <c r="K147" s="415">
        <v>141</v>
      </c>
      <c r="L147" s="415">
        <v>216</v>
      </c>
      <c r="M147" s="415"/>
      <c r="N147" s="66" t="s">
        <v>628</v>
      </c>
      <c r="O147" t="s">
        <v>1897</v>
      </c>
      <c r="P147" s="577">
        <v>138904.66</v>
      </c>
      <c r="Q147" s="577">
        <v>103943.92</v>
      </c>
      <c r="R147" s="577">
        <v>140967.58999999997</v>
      </c>
      <c r="S147" s="577">
        <v>10198.290000000001</v>
      </c>
      <c r="T147" s="577">
        <v>560</v>
      </c>
      <c r="U147" s="577">
        <v>7766.91</v>
      </c>
      <c r="V147" s="200"/>
      <c r="W147" s="577">
        <v>48779.870419999992</v>
      </c>
      <c r="X147" s="590">
        <v>263436.70999999996</v>
      </c>
      <c r="Y147" s="577">
        <v>312216.58041999995</v>
      </c>
      <c r="Z147" s="577">
        <v>-173311.92041999995</v>
      </c>
      <c r="AA147" s="375">
        <f t="shared" si="2"/>
        <v>0</v>
      </c>
    </row>
    <row r="148" spans="3:27" ht="15">
      <c r="C148" s="415">
        <v>142</v>
      </c>
      <c r="D148" s="415">
        <v>216</v>
      </c>
      <c r="E148" s="66" t="s">
        <v>539</v>
      </c>
      <c r="F148" t="s">
        <v>540</v>
      </c>
      <c r="G148" s="364">
        <v>-187537.48376900004</v>
      </c>
      <c r="H148" t="s">
        <v>2580</v>
      </c>
      <c r="K148" s="415">
        <v>142</v>
      </c>
      <c r="L148" s="415">
        <v>260</v>
      </c>
      <c r="M148" s="415"/>
      <c r="N148" s="66" t="s">
        <v>539</v>
      </c>
      <c r="O148" t="s">
        <v>2491</v>
      </c>
      <c r="P148" s="577">
        <v>129097.29</v>
      </c>
      <c r="Q148" s="577">
        <v>60157.81</v>
      </c>
      <c r="R148" s="577">
        <v>185652.32</v>
      </c>
      <c r="S148" s="577">
        <v>0</v>
      </c>
      <c r="T148" s="577">
        <v>631.85</v>
      </c>
      <c r="U148" s="577">
        <v>31874.14</v>
      </c>
      <c r="V148" s="200"/>
      <c r="W148" s="577">
        <v>38318.653769000004</v>
      </c>
      <c r="X148" s="590">
        <v>278316.12</v>
      </c>
      <c r="Y148" s="577">
        <v>316634.77376900002</v>
      </c>
      <c r="Z148" s="577">
        <v>-187537.48376900004</v>
      </c>
      <c r="AA148" s="375">
        <f t="shared" si="2"/>
        <v>0</v>
      </c>
    </row>
    <row r="149" spans="3:27" ht="15">
      <c r="C149" s="415">
        <v>143</v>
      </c>
      <c r="D149" s="415">
        <v>260</v>
      </c>
      <c r="E149" s="66" t="s">
        <v>1577</v>
      </c>
      <c r="F149" t="s">
        <v>1626</v>
      </c>
      <c r="G149" s="364">
        <v>-2182.3145100000002</v>
      </c>
      <c r="H149" t="s">
        <v>2580</v>
      </c>
      <c r="K149" s="415">
        <v>143</v>
      </c>
      <c r="L149" s="415">
        <v>300</v>
      </c>
      <c r="M149" s="415"/>
      <c r="N149" s="66" t="s">
        <v>1577</v>
      </c>
      <c r="O149" t="s">
        <v>1968</v>
      </c>
      <c r="P149" s="577">
        <v>21699.599999999999</v>
      </c>
      <c r="Q149" s="577">
        <v>20426.189999999999</v>
      </c>
      <c r="R149" s="577">
        <v>1039.48</v>
      </c>
      <c r="S149" s="577">
        <v>631.42999999999995</v>
      </c>
      <c r="T149" s="577">
        <v>1324.95</v>
      </c>
      <c r="U149" s="577">
        <v>0</v>
      </c>
      <c r="V149" s="200"/>
      <c r="W149" s="577">
        <v>459.86450999999994</v>
      </c>
      <c r="X149" s="590">
        <v>23422.05</v>
      </c>
      <c r="Y149" s="577">
        <v>23881.914509999999</v>
      </c>
      <c r="Z149" s="577">
        <v>-2182.3145100000002</v>
      </c>
      <c r="AA149" s="375">
        <f t="shared" si="2"/>
        <v>0</v>
      </c>
    </row>
    <row r="150" spans="3:27" ht="15">
      <c r="C150" s="415">
        <v>144</v>
      </c>
      <c r="D150" s="415">
        <v>300</v>
      </c>
      <c r="E150" t="s">
        <v>1178</v>
      </c>
      <c r="F150" t="s">
        <v>1545</v>
      </c>
      <c r="G150" s="364"/>
      <c r="H150" t="s">
        <v>2580</v>
      </c>
      <c r="K150" s="415">
        <v>144</v>
      </c>
      <c r="L150" s="415">
        <v>149</v>
      </c>
      <c r="M150" s="415"/>
      <c r="N150" t="s">
        <v>1178</v>
      </c>
      <c r="O150" t="s">
        <v>1545</v>
      </c>
      <c r="P150" s="577"/>
      <c r="Q150" s="577"/>
      <c r="R150" s="577"/>
      <c r="S150" s="577"/>
      <c r="T150" s="577"/>
      <c r="U150" s="577"/>
      <c r="V150" s="200"/>
      <c r="W150" s="577"/>
      <c r="X150" s="590"/>
      <c r="Y150" s="577"/>
      <c r="Z150" s="577"/>
      <c r="AA150" s="375">
        <f t="shared" si="2"/>
        <v>0</v>
      </c>
    </row>
    <row r="151" spans="3:27" ht="15">
      <c r="C151" s="415">
        <v>145</v>
      </c>
      <c r="D151" s="415">
        <v>149</v>
      </c>
      <c r="E151" s="66" t="s">
        <v>414</v>
      </c>
      <c r="F151" t="s">
        <v>938</v>
      </c>
      <c r="G151" s="364">
        <v>-106927.67164400002</v>
      </c>
      <c r="H151" t="s">
        <v>2580</v>
      </c>
      <c r="K151" s="415">
        <v>145</v>
      </c>
      <c r="L151" s="415">
        <v>295</v>
      </c>
      <c r="M151" s="415"/>
      <c r="N151" s="66" t="s">
        <v>414</v>
      </c>
      <c r="O151" t="s">
        <v>1790</v>
      </c>
      <c r="P151" s="577">
        <v>111525.66</v>
      </c>
      <c r="Q151" s="577">
        <v>62226.05</v>
      </c>
      <c r="R151" s="577">
        <v>118289.40000000001</v>
      </c>
      <c r="S151" s="577">
        <v>988.22</v>
      </c>
      <c r="T151" s="577">
        <v>6125.5599999999995</v>
      </c>
      <c r="U151" s="577">
        <v>0</v>
      </c>
      <c r="V151" s="200"/>
      <c r="W151" s="577">
        <v>30824.101644000002</v>
      </c>
      <c r="X151" s="590">
        <v>187629.23</v>
      </c>
      <c r="Y151" s="577">
        <v>218453.33164400002</v>
      </c>
      <c r="Z151" s="577">
        <v>-106927.67164400002</v>
      </c>
      <c r="AA151" s="375">
        <f t="shared" si="2"/>
        <v>0</v>
      </c>
    </row>
    <row r="152" spans="3:27" ht="15">
      <c r="C152" s="415">
        <v>146</v>
      </c>
      <c r="D152" s="415">
        <v>295</v>
      </c>
      <c r="E152" s="66" t="s">
        <v>677</v>
      </c>
      <c r="F152" t="s">
        <v>1055</v>
      </c>
      <c r="G152" s="364">
        <v>-73965.03319793893</v>
      </c>
      <c r="H152" t="s">
        <v>2580</v>
      </c>
      <c r="K152" s="415">
        <v>146</v>
      </c>
      <c r="L152" s="415">
        <v>319</v>
      </c>
      <c r="M152" s="415"/>
      <c r="N152" s="66" t="s">
        <v>677</v>
      </c>
      <c r="O152" t="s">
        <v>1924</v>
      </c>
      <c r="P152" s="577">
        <v>1685856.35</v>
      </c>
      <c r="Q152" s="577">
        <v>632957.91338884248</v>
      </c>
      <c r="R152" s="577">
        <v>866972.99434610084</v>
      </c>
      <c r="S152" s="577">
        <v>59487.946930295424</v>
      </c>
      <c r="T152" s="577">
        <v>43126.838503001934</v>
      </c>
      <c r="U152" s="577">
        <v>7571.3368317593222</v>
      </c>
      <c r="V152" s="200"/>
      <c r="W152" s="577">
        <v>149704.35319793908</v>
      </c>
      <c r="X152" s="590">
        <v>1610117.03</v>
      </c>
      <c r="Y152" s="577">
        <v>1759821.383197939</v>
      </c>
      <c r="Z152" s="577">
        <v>-73965.03319793893</v>
      </c>
      <c r="AA152" s="375">
        <f t="shared" si="2"/>
        <v>0</v>
      </c>
    </row>
    <row r="153" spans="3:27" ht="15">
      <c r="C153" s="415">
        <v>147</v>
      </c>
      <c r="D153" s="415">
        <v>319</v>
      </c>
      <c r="E153" s="66" t="s">
        <v>720</v>
      </c>
      <c r="F153" t="s">
        <v>1072</v>
      </c>
      <c r="G153" s="364">
        <v>-173331.71332800004</v>
      </c>
      <c r="H153" t="s">
        <v>2580</v>
      </c>
      <c r="K153" s="415">
        <v>147</v>
      </c>
      <c r="L153" s="415">
        <v>53</v>
      </c>
      <c r="M153" s="415"/>
      <c r="N153" s="66" t="s">
        <v>720</v>
      </c>
      <c r="O153" t="s">
        <v>2595</v>
      </c>
      <c r="P153" s="577">
        <v>599182.25</v>
      </c>
      <c r="Q153" s="577">
        <v>60956.62</v>
      </c>
      <c r="R153" s="577">
        <v>225485.63</v>
      </c>
      <c r="S153" s="577">
        <v>39.94</v>
      </c>
      <c r="T153" s="577">
        <v>326240.36</v>
      </c>
      <c r="U153" s="577">
        <v>0</v>
      </c>
      <c r="V153" s="498"/>
      <c r="W153" s="577">
        <v>159791.413328</v>
      </c>
      <c r="X153" s="590">
        <v>612722.55000000005</v>
      </c>
      <c r="Y153" s="577">
        <v>772513.96332800004</v>
      </c>
      <c r="Z153" s="577">
        <v>-173331.71332800004</v>
      </c>
      <c r="AA153" s="375">
        <f t="shared" si="2"/>
        <v>0</v>
      </c>
    </row>
    <row r="154" spans="3:27" ht="15">
      <c r="C154" s="415">
        <v>148</v>
      </c>
      <c r="D154" s="415">
        <v>53</v>
      </c>
      <c r="E154" s="66" t="s">
        <v>253</v>
      </c>
      <c r="F154" t="s">
        <v>867</v>
      </c>
      <c r="G154" s="364">
        <v>-86470.572092999995</v>
      </c>
      <c r="H154" t="s">
        <v>2580</v>
      </c>
      <c r="K154" s="415">
        <v>148</v>
      </c>
      <c r="L154" s="415">
        <v>14</v>
      </c>
      <c r="M154" s="415"/>
      <c r="N154" s="66" t="s">
        <v>253</v>
      </c>
      <c r="O154" t="s">
        <v>1706</v>
      </c>
      <c r="P154" s="577">
        <v>78552.88</v>
      </c>
      <c r="Q154" s="577">
        <v>47025.760000000002</v>
      </c>
      <c r="R154" s="577">
        <v>90763.5</v>
      </c>
      <c r="S154" s="577">
        <v>3158.21</v>
      </c>
      <c r="T154" s="577">
        <v>605</v>
      </c>
      <c r="U154" s="577">
        <v>0</v>
      </c>
      <c r="V154" s="497"/>
      <c r="W154" s="577">
        <v>23470.982093000002</v>
      </c>
      <c r="X154" s="590">
        <v>141552.47</v>
      </c>
      <c r="Y154" s="577">
        <v>165023.452093</v>
      </c>
      <c r="Z154" s="577">
        <v>-86470.572092999995</v>
      </c>
      <c r="AA154" s="375">
        <f t="shared" si="2"/>
        <v>0</v>
      </c>
    </row>
    <row r="155" spans="3:27" ht="15">
      <c r="C155" s="415">
        <v>149</v>
      </c>
      <c r="D155" s="415">
        <v>14</v>
      </c>
      <c r="E155" s="66" t="s">
        <v>189</v>
      </c>
      <c r="F155" t="s">
        <v>838</v>
      </c>
      <c r="G155" s="364">
        <v>-148357.56185900012</v>
      </c>
      <c r="H155" t="s">
        <v>2580</v>
      </c>
      <c r="K155" s="415">
        <v>149</v>
      </c>
      <c r="L155" s="415">
        <v>174</v>
      </c>
      <c r="M155" s="415"/>
      <c r="N155" s="66" t="s">
        <v>189</v>
      </c>
      <c r="O155" t="s">
        <v>1672</v>
      </c>
      <c r="P155" s="577">
        <v>470704.98</v>
      </c>
      <c r="Q155" s="577">
        <v>253058.03</v>
      </c>
      <c r="R155" s="577">
        <v>275438.48000000004</v>
      </c>
      <c r="S155" s="577">
        <v>12644.55</v>
      </c>
      <c r="T155" s="577">
        <v>1180</v>
      </c>
      <c r="U155" s="577">
        <v>0</v>
      </c>
      <c r="V155" s="497"/>
      <c r="W155" s="577">
        <v>76741.481859000007</v>
      </c>
      <c r="X155" s="590">
        <v>542321.06000000006</v>
      </c>
      <c r="Y155" s="577">
        <v>619062.54185900011</v>
      </c>
      <c r="Z155" s="577">
        <v>-148357.56185900012</v>
      </c>
      <c r="AA155" s="375">
        <f t="shared" si="2"/>
        <v>0</v>
      </c>
    </row>
    <row r="156" spans="3:27" ht="15">
      <c r="C156" s="415">
        <v>150</v>
      </c>
      <c r="D156" s="415">
        <v>174</v>
      </c>
      <c r="E156" s="66" t="s">
        <v>464</v>
      </c>
      <c r="F156" t="s">
        <v>961</v>
      </c>
      <c r="G156" s="364">
        <v>-122442.97450099999</v>
      </c>
      <c r="H156" t="s">
        <v>2580</v>
      </c>
      <c r="K156" s="415">
        <v>150</v>
      </c>
      <c r="L156" s="415">
        <v>271</v>
      </c>
      <c r="M156" s="415"/>
      <c r="N156" s="66" t="s">
        <v>464</v>
      </c>
      <c r="O156" t="s">
        <v>1815</v>
      </c>
      <c r="P156" s="577">
        <v>186040.23</v>
      </c>
      <c r="Q156" s="577">
        <v>112599.9</v>
      </c>
      <c r="R156" s="577">
        <v>146888.85</v>
      </c>
      <c r="S156" s="577">
        <v>16089.32</v>
      </c>
      <c r="T156" s="577">
        <v>10970.24</v>
      </c>
      <c r="U156" s="577">
        <v>0</v>
      </c>
      <c r="V156" s="200"/>
      <c r="W156" s="577">
        <v>21934.894500999999</v>
      </c>
      <c r="X156" s="590">
        <v>286548.31</v>
      </c>
      <c r="Y156" s="577">
        <v>308483.204501</v>
      </c>
      <c r="Z156" s="577">
        <v>-122442.97450099999</v>
      </c>
      <c r="AA156" s="375">
        <f t="shared" si="2"/>
        <v>0</v>
      </c>
    </row>
    <row r="157" spans="3:27" ht="15">
      <c r="C157" s="415">
        <v>151</v>
      </c>
      <c r="D157" s="415">
        <v>271</v>
      </c>
      <c r="E157" s="66" t="s">
        <v>634</v>
      </c>
      <c r="F157" t="s">
        <v>1034</v>
      </c>
      <c r="G157" s="364">
        <v>-82690.759510000004</v>
      </c>
      <c r="H157" t="s">
        <v>2580</v>
      </c>
      <c r="K157" s="415">
        <v>151</v>
      </c>
      <c r="L157" s="415">
        <v>235</v>
      </c>
      <c r="M157" s="415"/>
      <c r="N157" s="66" t="s">
        <v>634</v>
      </c>
      <c r="O157" t="s">
        <v>1901</v>
      </c>
      <c r="P157" s="577">
        <v>404316.73</v>
      </c>
      <c r="Q157" s="577">
        <v>222240.23</v>
      </c>
      <c r="R157" s="577">
        <v>182976.59999999998</v>
      </c>
      <c r="S157" s="577">
        <v>15179.58</v>
      </c>
      <c r="T157" s="577">
        <v>24674.37</v>
      </c>
      <c r="U157" s="577">
        <v>0</v>
      </c>
      <c r="V157" s="200"/>
      <c r="W157" s="577">
        <v>41936.709509999993</v>
      </c>
      <c r="X157" s="590">
        <v>445070.77999999997</v>
      </c>
      <c r="Y157" s="577">
        <v>487007.48950999998</v>
      </c>
      <c r="Z157" s="577">
        <v>-82690.759510000004</v>
      </c>
      <c r="AA157" s="375">
        <f t="shared" si="2"/>
        <v>0</v>
      </c>
    </row>
    <row r="158" spans="3:27" ht="15">
      <c r="C158" s="415">
        <v>152</v>
      </c>
      <c r="D158" s="415">
        <v>235</v>
      </c>
      <c r="E158" s="66" t="s">
        <v>574</v>
      </c>
      <c r="F158" t="s">
        <v>1009</v>
      </c>
      <c r="G158" s="364">
        <v>-612439.05409179255</v>
      </c>
      <c r="H158" t="s">
        <v>2580</v>
      </c>
      <c r="K158" s="415">
        <v>152</v>
      </c>
      <c r="L158" s="415">
        <v>79</v>
      </c>
      <c r="M158" s="415"/>
      <c r="N158" s="66" t="s">
        <v>574</v>
      </c>
      <c r="O158" t="s">
        <v>1869</v>
      </c>
      <c r="P158" s="577">
        <v>6243387.7999999998</v>
      </c>
      <c r="Q158" s="577">
        <v>2759442.4061869206</v>
      </c>
      <c r="R158" s="577">
        <v>3600681.3841274558</v>
      </c>
      <c r="S158" s="577">
        <v>1066.2297655653467</v>
      </c>
      <c r="T158" s="577">
        <v>7951.6212887341062</v>
      </c>
      <c r="U158" s="577">
        <v>34028.92863132403</v>
      </c>
      <c r="V158" s="200"/>
      <c r="W158" s="577">
        <v>452656.28409179213</v>
      </c>
      <c r="X158" s="590">
        <v>6403170.5700000003</v>
      </c>
      <c r="Y158" s="577">
        <v>6855826.8540917924</v>
      </c>
      <c r="Z158" s="577">
        <v>-612439.05409179255</v>
      </c>
      <c r="AA158" s="375">
        <f t="shared" si="2"/>
        <v>0</v>
      </c>
    </row>
    <row r="159" spans="3:27" ht="15">
      <c r="C159" s="415">
        <v>153</v>
      </c>
      <c r="D159" s="415">
        <v>79</v>
      </c>
      <c r="E159" s="66" t="s">
        <v>303</v>
      </c>
      <c r="F159" t="s">
        <v>1612</v>
      </c>
      <c r="G159" s="364">
        <v>-81675.958408000006</v>
      </c>
      <c r="H159" t="s">
        <v>2580</v>
      </c>
      <c r="K159" s="415">
        <v>153</v>
      </c>
      <c r="L159" s="415">
        <v>249</v>
      </c>
      <c r="M159" s="415"/>
      <c r="N159" s="66" t="s">
        <v>303</v>
      </c>
      <c r="O159" t="s">
        <v>1731</v>
      </c>
      <c r="P159" s="577">
        <v>226031.31</v>
      </c>
      <c r="Q159" s="577">
        <v>109573.63</v>
      </c>
      <c r="R159" s="577">
        <v>145344.19</v>
      </c>
      <c r="S159" s="577">
        <v>7481.14</v>
      </c>
      <c r="T159" s="577">
        <v>11138.29</v>
      </c>
      <c r="U159" s="577">
        <v>0</v>
      </c>
      <c r="V159" s="200"/>
      <c r="W159" s="577">
        <v>34170.018408000004</v>
      </c>
      <c r="X159" s="590">
        <v>273537.25</v>
      </c>
      <c r="Y159" s="577">
        <v>307707.268408</v>
      </c>
      <c r="Z159" s="577">
        <v>-81675.958408000006</v>
      </c>
      <c r="AA159" s="375">
        <f t="shared" si="2"/>
        <v>0</v>
      </c>
    </row>
    <row r="160" spans="3:27" ht="15">
      <c r="C160" s="415">
        <v>154</v>
      </c>
      <c r="D160" s="415">
        <v>249</v>
      </c>
      <c r="E160" s="66" t="s">
        <v>602</v>
      </c>
      <c r="F160" t="s">
        <v>1020</v>
      </c>
      <c r="G160" s="364">
        <v>177824.44575762656</v>
      </c>
      <c r="H160" t="s">
        <v>2580</v>
      </c>
      <c r="K160" s="415">
        <v>154</v>
      </c>
      <c r="L160" s="415">
        <v>248</v>
      </c>
      <c r="M160" s="415"/>
      <c r="N160" s="66" t="s">
        <v>602</v>
      </c>
      <c r="O160" t="s">
        <v>1883</v>
      </c>
      <c r="P160" s="577">
        <v>5683562.6399999997</v>
      </c>
      <c r="Q160" s="577">
        <v>2397905.4380268548</v>
      </c>
      <c r="R160" s="577">
        <v>2472170.3112363764</v>
      </c>
      <c r="S160" s="577">
        <v>170248.58158977696</v>
      </c>
      <c r="T160" s="577">
        <v>58522.422471251062</v>
      </c>
      <c r="U160" s="577">
        <v>3910.9966757407924</v>
      </c>
      <c r="V160" s="200"/>
      <c r="W160" s="577">
        <v>402980.4442423727</v>
      </c>
      <c r="X160" s="590">
        <v>5102757.75</v>
      </c>
      <c r="Y160" s="577">
        <v>5505738.1942423731</v>
      </c>
      <c r="Z160" s="577">
        <v>177824.44575762656</v>
      </c>
      <c r="AA160" s="375">
        <f t="shared" si="2"/>
        <v>0</v>
      </c>
    </row>
    <row r="161" spans="3:27" ht="15">
      <c r="C161" s="415">
        <v>155</v>
      </c>
      <c r="D161" s="415">
        <v>248</v>
      </c>
      <c r="E161" s="66" t="s">
        <v>600</v>
      </c>
      <c r="F161" t="s">
        <v>1019</v>
      </c>
      <c r="G161" s="364">
        <v>-524822.49496000027</v>
      </c>
      <c r="H161" t="s">
        <v>2580</v>
      </c>
      <c r="K161" s="415">
        <v>155</v>
      </c>
      <c r="L161" s="415">
        <v>100</v>
      </c>
      <c r="M161" s="415"/>
      <c r="N161" s="66" t="s">
        <v>600</v>
      </c>
      <c r="O161" t="s">
        <v>1882</v>
      </c>
      <c r="P161" s="577">
        <v>1110505.51</v>
      </c>
      <c r="Q161" s="577">
        <v>633117.44999999995</v>
      </c>
      <c r="R161" s="577">
        <v>722268.88000000012</v>
      </c>
      <c r="S161" s="577">
        <v>75604.600000000006</v>
      </c>
      <c r="T161" s="577">
        <v>4196.62</v>
      </c>
      <c r="U161" s="577">
        <v>15985.16</v>
      </c>
      <c r="V161" s="200"/>
      <c r="W161" s="577">
        <v>184155.29496000003</v>
      </c>
      <c r="X161" s="590">
        <v>1451172.7100000002</v>
      </c>
      <c r="Y161" s="577">
        <v>1635328.0049600003</v>
      </c>
      <c r="Z161" s="577">
        <v>-524822.49496000027</v>
      </c>
      <c r="AA161" s="375">
        <f t="shared" si="2"/>
        <v>0</v>
      </c>
    </row>
    <row r="162" spans="3:27" ht="15">
      <c r="C162" s="415">
        <v>156</v>
      </c>
      <c r="D162" s="415">
        <v>100</v>
      </c>
      <c r="E162" s="66" t="s">
        <v>344</v>
      </c>
      <c r="F162" t="s">
        <v>909</v>
      </c>
      <c r="G162" s="364">
        <v>-280093.15807295963</v>
      </c>
      <c r="H162" t="s">
        <v>2580</v>
      </c>
      <c r="K162" s="415">
        <v>156</v>
      </c>
      <c r="L162" s="415">
        <v>296</v>
      </c>
      <c r="M162" s="415"/>
      <c r="N162" s="66" t="s">
        <v>344</v>
      </c>
      <c r="O162" t="s">
        <v>1752</v>
      </c>
      <c r="P162" s="577">
        <v>2085526.27</v>
      </c>
      <c r="Q162" s="577">
        <v>891912.01678751945</v>
      </c>
      <c r="R162" s="577">
        <v>947400.5974144506</v>
      </c>
      <c r="S162" s="577">
        <v>57505.616376291888</v>
      </c>
      <c r="T162" s="577">
        <v>286686.60942173807</v>
      </c>
      <c r="U162" s="577">
        <v>0</v>
      </c>
      <c r="V162" s="200"/>
      <c r="W162" s="577">
        <v>182114.58807295974</v>
      </c>
      <c r="X162" s="590">
        <v>2183504.84</v>
      </c>
      <c r="Y162" s="577">
        <v>2365619.4280729597</v>
      </c>
      <c r="Z162" s="577">
        <v>-280093.15807295963</v>
      </c>
      <c r="AA162" s="375">
        <f t="shared" si="2"/>
        <v>0</v>
      </c>
    </row>
    <row r="163" spans="3:27" ht="15">
      <c r="C163" s="415">
        <v>157</v>
      </c>
      <c r="D163" s="415">
        <v>296</v>
      </c>
      <c r="E163" s="66" t="s">
        <v>679</v>
      </c>
      <c r="F163" t="s">
        <v>1056</v>
      </c>
      <c r="G163" s="364">
        <v>-43798.033861000091</v>
      </c>
      <c r="H163" t="s">
        <v>2580</v>
      </c>
      <c r="K163" s="415">
        <v>157</v>
      </c>
      <c r="L163" s="415">
        <v>183</v>
      </c>
      <c r="M163" s="415"/>
      <c r="N163" s="66" t="s">
        <v>679</v>
      </c>
      <c r="O163" t="s">
        <v>1925</v>
      </c>
      <c r="P163" s="577">
        <v>823807.72</v>
      </c>
      <c r="Q163" s="577">
        <v>272647.38</v>
      </c>
      <c r="R163" s="577">
        <v>417128.77</v>
      </c>
      <c r="S163" s="577">
        <v>27307.27</v>
      </c>
      <c r="T163" s="577">
        <v>43514.729999999996</v>
      </c>
      <c r="U163" s="577">
        <v>0</v>
      </c>
      <c r="V163" s="200"/>
      <c r="W163" s="577">
        <v>107007.603861</v>
      </c>
      <c r="X163" s="590">
        <v>760598.15</v>
      </c>
      <c r="Y163" s="577">
        <v>867605.75386100006</v>
      </c>
      <c r="Z163" s="577">
        <v>-43798.033861000091</v>
      </c>
      <c r="AA163" s="375">
        <f t="shared" si="2"/>
        <v>0</v>
      </c>
    </row>
    <row r="164" spans="3:27" ht="15">
      <c r="C164" s="415">
        <v>158</v>
      </c>
      <c r="D164" s="415">
        <v>183</v>
      </c>
      <c r="E164" s="66" t="s">
        <v>482</v>
      </c>
      <c r="F164" t="s">
        <v>970</v>
      </c>
      <c r="G164" s="364">
        <v>-167257.40243599995</v>
      </c>
      <c r="H164" t="s">
        <v>2580</v>
      </c>
      <c r="K164" s="415">
        <v>158</v>
      </c>
      <c r="L164" s="415">
        <v>228</v>
      </c>
      <c r="M164" s="415"/>
      <c r="N164" s="66" t="s">
        <v>482</v>
      </c>
      <c r="O164" t="s">
        <v>1823</v>
      </c>
      <c r="P164" s="577">
        <v>421590.39</v>
      </c>
      <c r="Q164" s="577">
        <v>238434.97</v>
      </c>
      <c r="R164" s="577">
        <v>269838.07999999996</v>
      </c>
      <c r="S164" s="577">
        <v>16290.01</v>
      </c>
      <c r="T164" s="577">
        <v>1260.43</v>
      </c>
      <c r="U164" s="577">
        <v>0</v>
      </c>
      <c r="V164" s="200"/>
      <c r="W164" s="577">
        <v>63024.302435999991</v>
      </c>
      <c r="X164" s="590">
        <v>525823.49</v>
      </c>
      <c r="Y164" s="577">
        <v>588847.79243599996</v>
      </c>
      <c r="Z164" s="577">
        <v>-167257.40243599995</v>
      </c>
      <c r="AA164" s="375">
        <f t="shared" si="2"/>
        <v>0</v>
      </c>
    </row>
    <row r="165" spans="3:27" ht="15">
      <c r="C165" s="415">
        <v>159</v>
      </c>
      <c r="D165" s="415">
        <v>228</v>
      </c>
      <c r="E165" s="66" t="s">
        <v>560</v>
      </c>
      <c r="F165" t="s">
        <v>1003</v>
      </c>
      <c r="G165" s="364">
        <v>-85610.891509000008</v>
      </c>
      <c r="H165" t="s">
        <v>2580</v>
      </c>
      <c r="K165" s="415">
        <v>159</v>
      </c>
      <c r="L165" s="415">
        <v>237</v>
      </c>
      <c r="M165" s="415"/>
      <c r="N165" s="66" t="s">
        <v>560</v>
      </c>
      <c r="O165" t="s">
        <v>1862</v>
      </c>
      <c r="P165" s="577">
        <v>38888.769999999997</v>
      </c>
      <c r="Q165" s="577">
        <v>27546.22</v>
      </c>
      <c r="R165" s="577">
        <v>72787.759999999995</v>
      </c>
      <c r="S165" s="577">
        <v>1076.8499999999999</v>
      </c>
      <c r="T165" s="577">
        <v>594.67999999999995</v>
      </c>
      <c r="U165" s="577">
        <v>0</v>
      </c>
      <c r="V165" s="497"/>
      <c r="W165" s="577">
        <v>22494.151508999996</v>
      </c>
      <c r="X165" s="590">
        <v>102005.51</v>
      </c>
      <c r="Y165" s="577">
        <v>124499.661509</v>
      </c>
      <c r="Z165" s="577">
        <v>-85610.891509000008</v>
      </c>
      <c r="AA165" s="375">
        <f t="shared" si="2"/>
        <v>0</v>
      </c>
    </row>
    <row r="166" spans="3:27" ht="15">
      <c r="C166" s="415">
        <v>160</v>
      </c>
      <c r="D166" s="415">
        <v>237</v>
      </c>
      <c r="E166" s="66" t="s">
        <v>578</v>
      </c>
      <c r="F166" t="s">
        <v>1011</v>
      </c>
      <c r="G166" s="364">
        <v>-329433.80801000027</v>
      </c>
      <c r="H166" t="s">
        <v>2580</v>
      </c>
      <c r="K166" s="415">
        <v>160</v>
      </c>
      <c r="L166" s="415">
        <v>80</v>
      </c>
      <c r="M166" s="415"/>
      <c r="N166" s="66" t="s">
        <v>578</v>
      </c>
      <c r="O166" t="s">
        <v>2596</v>
      </c>
      <c r="P166" s="577">
        <v>2203789.44</v>
      </c>
      <c r="Q166" s="577">
        <v>887164.94000000006</v>
      </c>
      <c r="R166" s="577">
        <v>1166090.3900000001</v>
      </c>
      <c r="S166" s="577">
        <v>71100.89</v>
      </c>
      <c r="T166" s="577">
        <v>192423.37</v>
      </c>
      <c r="U166" s="577">
        <v>0</v>
      </c>
      <c r="V166" s="200"/>
      <c r="W166" s="577">
        <v>216443.65800999998</v>
      </c>
      <c r="X166" s="590">
        <v>2316779.5900000003</v>
      </c>
      <c r="Y166" s="577">
        <v>2533223.2480100002</v>
      </c>
      <c r="Z166" s="577">
        <v>-329433.80801000027</v>
      </c>
      <c r="AA166" s="375">
        <f t="shared" si="2"/>
        <v>0</v>
      </c>
    </row>
    <row r="167" spans="3:27" ht="15">
      <c r="C167" s="415">
        <v>161</v>
      </c>
      <c r="D167" s="415">
        <v>80</v>
      </c>
      <c r="E167" s="66" t="s">
        <v>305</v>
      </c>
      <c r="F167" t="s">
        <v>890</v>
      </c>
      <c r="G167" s="364">
        <v>-142664.52822799992</v>
      </c>
      <c r="H167" t="s">
        <v>2580</v>
      </c>
      <c r="K167" s="415">
        <v>161</v>
      </c>
      <c r="L167" s="415">
        <v>153</v>
      </c>
      <c r="M167" s="415"/>
      <c r="N167" s="66" t="s">
        <v>305</v>
      </c>
      <c r="O167" t="s">
        <v>1732</v>
      </c>
      <c r="P167" s="577">
        <v>674465.77</v>
      </c>
      <c r="Q167" s="577">
        <v>282140.57</v>
      </c>
      <c r="R167" s="577">
        <v>416644.16000000003</v>
      </c>
      <c r="S167" s="577">
        <v>10305.61</v>
      </c>
      <c r="T167" s="577">
        <v>33738.590000000026</v>
      </c>
      <c r="U167" s="577">
        <v>15655.74</v>
      </c>
      <c r="V167" s="200"/>
      <c r="W167" s="577">
        <v>58645.628228000001</v>
      </c>
      <c r="X167" s="590">
        <v>758484.66999999993</v>
      </c>
      <c r="Y167" s="577">
        <v>817130.29822799994</v>
      </c>
      <c r="Z167" s="577">
        <v>-142664.52822799992</v>
      </c>
      <c r="AA167" s="375">
        <f t="shared" si="2"/>
        <v>0</v>
      </c>
    </row>
    <row r="168" spans="3:27" ht="15">
      <c r="C168" s="415">
        <v>162</v>
      </c>
      <c r="D168" s="415">
        <v>153</v>
      </c>
      <c r="E168" s="66" t="s">
        <v>422</v>
      </c>
      <c r="F168" t="s">
        <v>941</v>
      </c>
      <c r="G168" s="364">
        <v>-36993.120354000013</v>
      </c>
      <c r="H168" t="s">
        <v>2580</v>
      </c>
      <c r="K168" s="415">
        <v>162</v>
      </c>
      <c r="L168" s="415">
        <v>72</v>
      </c>
      <c r="M168" s="415"/>
      <c r="N168" s="66" t="s">
        <v>422</v>
      </c>
      <c r="O168" t="s">
        <v>1794</v>
      </c>
      <c r="P168" s="577">
        <v>311771.8</v>
      </c>
      <c r="Q168" s="577">
        <v>152059.32999999999</v>
      </c>
      <c r="R168" s="577">
        <v>151545.15</v>
      </c>
      <c r="S168" s="577">
        <v>5963.34</v>
      </c>
      <c r="T168" s="577">
        <v>1612.6799999999998</v>
      </c>
      <c r="U168" s="577">
        <v>0</v>
      </c>
      <c r="V168" s="200"/>
      <c r="W168" s="577">
        <v>37584.420353999994</v>
      </c>
      <c r="X168" s="590">
        <v>311180.5</v>
      </c>
      <c r="Y168" s="577">
        <v>348764.920354</v>
      </c>
      <c r="Z168" s="577">
        <v>-36993.120354000013</v>
      </c>
      <c r="AA168" s="375">
        <f t="shared" si="2"/>
        <v>0</v>
      </c>
    </row>
    <row r="169" spans="3:27" ht="15">
      <c r="C169" s="415">
        <v>163</v>
      </c>
      <c r="D169" s="415">
        <v>72</v>
      </c>
      <c r="E169" s="66" t="s">
        <v>289</v>
      </c>
      <c r="F169" t="s">
        <v>883</v>
      </c>
      <c r="G169" s="364">
        <v>-191527.5481940005</v>
      </c>
      <c r="H169" t="s">
        <v>2580</v>
      </c>
      <c r="K169" s="415">
        <v>163</v>
      </c>
      <c r="L169" s="415">
        <v>152</v>
      </c>
      <c r="M169" s="415"/>
      <c r="N169" s="66" t="s">
        <v>289</v>
      </c>
      <c r="O169" t="s">
        <v>1724</v>
      </c>
      <c r="P169" s="577">
        <v>5419625.1699999999</v>
      </c>
      <c r="Q169" s="577">
        <v>1630454.97</v>
      </c>
      <c r="R169" s="577">
        <v>3100479.74</v>
      </c>
      <c r="S169" s="577">
        <v>420129.99</v>
      </c>
      <c r="T169" s="577">
        <v>-49171.910000000091</v>
      </c>
      <c r="U169" s="577">
        <v>0</v>
      </c>
      <c r="V169" s="200"/>
      <c r="W169" s="577">
        <v>509259.92819400004</v>
      </c>
      <c r="X169" s="590">
        <v>5101892.79</v>
      </c>
      <c r="Y169" s="577">
        <v>5611152.7181940004</v>
      </c>
      <c r="Z169" s="577">
        <v>-191527.5481940005</v>
      </c>
      <c r="AA169" s="375">
        <f t="shared" si="2"/>
        <v>0</v>
      </c>
    </row>
    <row r="170" spans="3:27" ht="15">
      <c r="C170" s="415">
        <v>164</v>
      </c>
      <c r="D170" s="415">
        <v>152</v>
      </c>
      <c r="E170" s="66" t="s">
        <v>420</v>
      </c>
      <c r="F170" t="s">
        <v>940</v>
      </c>
      <c r="G170" s="364">
        <v>-66146.121450000035</v>
      </c>
      <c r="H170" t="s">
        <v>2580</v>
      </c>
      <c r="K170" s="415">
        <v>164</v>
      </c>
      <c r="L170" s="415">
        <v>328</v>
      </c>
      <c r="M170" s="415"/>
      <c r="N170" s="66" t="s">
        <v>420</v>
      </c>
      <c r="O170" t="s">
        <v>1793</v>
      </c>
      <c r="P170" s="577">
        <v>457294.81</v>
      </c>
      <c r="Q170" s="577">
        <v>239355.6</v>
      </c>
      <c r="R170" s="577">
        <v>215576.44</v>
      </c>
      <c r="S170" s="577">
        <v>10040.14</v>
      </c>
      <c r="T170" s="577">
        <v>12400.32</v>
      </c>
      <c r="U170" s="577">
        <v>5486.55</v>
      </c>
      <c r="V170" s="200"/>
      <c r="W170" s="577">
        <v>40581.881450000008</v>
      </c>
      <c r="X170" s="590">
        <v>482859.05000000005</v>
      </c>
      <c r="Y170" s="577">
        <v>523440.93145000003</v>
      </c>
      <c r="Z170" s="577">
        <v>-66146.121450000035</v>
      </c>
      <c r="AA170" s="375">
        <f t="shared" si="2"/>
        <v>0</v>
      </c>
    </row>
    <row r="171" spans="3:27" ht="15">
      <c r="C171" s="415">
        <v>165</v>
      </c>
      <c r="D171" s="415">
        <v>328</v>
      </c>
      <c r="E171" s="66" t="s">
        <v>737</v>
      </c>
      <c r="F171" t="s">
        <v>1080</v>
      </c>
      <c r="G171" s="364">
        <v>-386523.32896269404</v>
      </c>
      <c r="H171" t="s">
        <v>2580</v>
      </c>
      <c r="K171" s="415">
        <v>165</v>
      </c>
      <c r="L171" s="415">
        <v>298</v>
      </c>
      <c r="M171" s="415"/>
      <c r="N171" s="66" t="s">
        <v>737</v>
      </c>
      <c r="O171" t="s">
        <v>1956</v>
      </c>
      <c r="P171" s="577">
        <v>709647.64</v>
      </c>
      <c r="Q171" s="577">
        <v>302196.2073329718</v>
      </c>
      <c r="R171" s="577">
        <v>436586.18529201305</v>
      </c>
      <c r="S171" s="577">
        <v>29947.466426742718</v>
      </c>
      <c r="T171" s="577">
        <v>163555.04094827245</v>
      </c>
      <c r="U171" s="577">
        <v>0</v>
      </c>
      <c r="V171" s="200"/>
      <c r="W171" s="577">
        <v>163886.06896269403</v>
      </c>
      <c r="X171" s="590">
        <v>932284.9</v>
      </c>
      <c r="Y171" s="577">
        <v>1096170.9689626941</v>
      </c>
      <c r="Z171" s="577">
        <v>-386523.32896269404</v>
      </c>
      <c r="AA171" s="375">
        <f t="shared" si="2"/>
        <v>0</v>
      </c>
    </row>
    <row r="172" spans="3:27" ht="15">
      <c r="C172" s="415">
        <v>166</v>
      </c>
      <c r="D172" s="415">
        <v>298</v>
      </c>
      <c r="E172" s="66" t="s">
        <v>683</v>
      </c>
      <c r="F172" t="s">
        <v>1058</v>
      </c>
      <c r="G172" s="364">
        <v>-88686.45710485708</v>
      </c>
      <c r="H172" t="s">
        <v>2580</v>
      </c>
      <c r="K172" s="415">
        <v>166</v>
      </c>
      <c r="L172" s="415">
        <v>227</v>
      </c>
      <c r="M172" s="415"/>
      <c r="N172" s="66" t="s">
        <v>683</v>
      </c>
      <c r="O172" t="s">
        <v>1927</v>
      </c>
      <c r="P172" s="577">
        <v>1428287.27</v>
      </c>
      <c r="Q172" s="577">
        <v>472798.04130650917</v>
      </c>
      <c r="R172" s="577">
        <v>821671.8938505901</v>
      </c>
      <c r="S172" s="577">
        <v>36918.419663948494</v>
      </c>
      <c r="T172" s="577">
        <v>19800.979830692657</v>
      </c>
      <c r="U172" s="577">
        <v>4072.5553482594914</v>
      </c>
      <c r="V172" s="200"/>
      <c r="W172" s="577">
        <v>161711.83710485708</v>
      </c>
      <c r="X172" s="590">
        <v>1355261.89</v>
      </c>
      <c r="Y172" s="577">
        <v>1516973.7271048571</v>
      </c>
      <c r="Z172" s="577">
        <v>-88686.45710485708</v>
      </c>
      <c r="AA172" s="375">
        <f t="shared" si="2"/>
        <v>0</v>
      </c>
    </row>
    <row r="173" spans="3:27" ht="15">
      <c r="C173" s="415">
        <v>167</v>
      </c>
      <c r="D173" s="415">
        <v>227</v>
      </c>
      <c r="E173" s="66" t="s">
        <v>558</v>
      </c>
      <c r="F173" s="340" t="s">
        <v>559</v>
      </c>
      <c r="G173" s="364">
        <v>-12.828899999999976</v>
      </c>
      <c r="H173" t="s">
        <v>2580</v>
      </c>
      <c r="K173" s="415">
        <v>167</v>
      </c>
      <c r="L173" s="415">
        <v>224</v>
      </c>
      <c r="M173" s="415"/>
      <c r="N173" s="66" t="s">
        <v>558</v>
      </c>
      <c r="O173" t="s">
        <v>1861</v>
      </c>
      <c r="P173" s="577">
        <v>1927.5</v>
      </c>
      <c r="Q173" s="577">
        <v>1372.95</v>
      </c>
      <c r="R173" s="577">
        <v>0</v>
      </c>
      <c r="S173" s="577">
        <v>140.6</v>
      </c>
      <c r="T173" s="577">
        <v>350</v>
      </c>
      <c r="U173" s="577">
        <v>0</v>
      </c>
      <c r="V173" s="200"/>
      <c r="W173" s="577">
        <v>76.778900000000007</v>
      </c>
      <c r="X173" s="590">
        <v>1863.55</v>
      </c>
      <c r="Y173" s="577">
        <v>1940.3289</v>
      </c>
      <c r="Z173" s="577">
        <v>-12.828899999999976</v>
      </c>
      <c r="AA173" s="375">
        <f t="shared" si="2"/>
        <v>0</v>
      </c>
    </row>
    <row r="174" spans="3:27" ht="15">
      <c r="C174" s="415">
        <v>168</v>
      </c>
      <c r="D174" s="415">
        <v>224</v>
      </c>
      <c r="E174" s="66" t="s">
        <v>554</v>
      </c>
      <c r="F174" t="s">
        <v>1621</v>
      </c>
      <c r="G174" s="364">
        <v>-680835.4560260009</v>
      </c>
      <c r="H174" t="s">
        <v>2580</v>
      </c>
      <c r="K174" s="415">
        <v>168</v>
      </c>
      <c r="L174" s="415">
        <v>118</v>
      </c>
      <c r="M174" s="415"/>
      <c r="N174" s="66" t="s">
        <v>554</v>
      </c>
      <c r="O174" t="s">
        <v>1859</v>
      </c>
      <c r="P174" s="577">
        <v>4459096.17</v>
      </c>
      <c r="Q174" s="577">
        <v>2030597.84</v>
      </c>
      <c r="R174" s="577">
        <v>2565712.0900000003</v>
      </c>
      <c r="S174" s="577">
        <v>71724.75</v>
      </c>
      <c r="T174" s="577">
        <v>21476.95</v>
      </c>
      <c r="U174" s="577">
        <v>0</v>
      </c>
      <c r="V174" s="498"/>
      <c r="W174" s="577">
        <v>450419.99602600007</v>
      </c>
      <c r="X174" s="590">
        <v>4689511.6300000008</v>
      </c>
      <c r="Y174" s="577">
        <v>5139931.6260260008</v>
      </c>
      <c r="Z174" s="577">
        <v>-680835.4560260009</v>
      </c>
      <c r="AA174" s="375">
        <f t="shared" si="2"/>
        <v>0</v>
      </c>
    </row>
    <row r="175" spans="3:27" ht="15">
      <c r="C175" s="415">
        <v>169</v>
      </c>
      <c r="D175" s="415">
        <v>118</v>
      </c>
      <c r="E175" s="66" t="s">
        <v>1176</v>
      </c>
      <c r="F175" s="346" t="s">
        <v>1188</v>
      </c>
      <c r="G175" s="364">
        <v>0</v>
      </c>
      <c r="H175" t="s">
        <v>2580</v>
      </c>
      <c r="K175" s="415">
        <v>169</v>
      </c>
      <c r="L175" s="415">
        <v>232</v>
      </c>
      <c r="M175" s="415"/>
      <c r="N175" s="66" t="s">
        <v>1176</v>
      </c>
      <c r="O175" s="79" t="s">
        <v>2313</v>
      </c>
      <c r="P175" s="578">
        <v>99921.59</v>
      </c>
      <c r="Q175" s="578"/>
      <c r="R175" s="578">
        <v>99921.59</v>
      </c>
      <c r="S175" s="578"/>
      <c r="T175" s="578"/>
      <c r="U175" s="578"/>
      <c r="V175" s="200"/>
      <c r="W175" s="578">
        <v>0</v>
      </c>
      <c r="X175" s="578">
        <v>99921.59</v>
      </c>
      <c r="Y175" s="578">
        <v>99921.59</v>
      </c>
      <c r="Z175" s="578">
        <v>0</v>
      </c>
      <c r="AA175" s="375">
        <f t="shared" si="2"/>
        <v>0</v>
      </c>
    </row>
    <row r="176" spans="3:27" ht="15">
      <c r="C176" s="415">
        <v>170</v>
      </c>
      <c r="D176" s="415">
        <v>232</v>
      </c>
      <c r="E176" s="66" t="s">
        <v>568</v>
      </c>
      <c r="F176" t="s">
        <v>1006</v>
      </c>
      <c r="G176" s="364">
        <v>-91741.252434937283</v>
      </c>
      <c r="H176" t="s">
        <v>2580</v>
      </c>
      <c r="K176" s="415">
        <v>170</v>
      </c>
      <c r="L176" s="415">
        <v>315</v>
      </c>
      <c r="M176" s="415"/>
      <c r="N176" s="66" t="s">
        <v>568</v>
      </c>
      <c r="O176" t="s">
        <v>1866</v>
      </c>
      <c r="P176" s="577">
        <v>9189691.2300000004</v>
      </c>
      <c r="Q176" s="577">
        <v>3307632.2233195729</v>
      </c>
      <c r="R176" s="577">
        <v>4354783.6903519435</v>
      </c>
      <c r="S176" s="577">
        <v>417112.73614676343</v>
      </c>
      <c r="T176" s="577">
        <v>409493.06529387058</v>
      </c>
      <c r="U176" s="577">
        <v>246292.3148878495</v>
      </c>
      <c r="V176" s="200"/>
      <c r="W176" s="577">
        <v>546118.4524349377</v>
      </c>
      <c r="X176" s="590">
        <v>8735314.0299999993</v>
      </c>
      <c r="Y176" s="577">
        <v>9281432.4824349377</v>
      </c>
      <c r="Z176" s="577">
        <v>-91741.252434937283</v>
      </c>
      <c r="AA176" s="375">
        <f t="shared" si="2"/>
        <v>0</v>
      </c>
    </row>
    <row r="177" spans="3:27" ht="15">
      <c r="C177" s="415">
        <v>171</v>
      </c>
      <c r="D177" s="415">
        <v>315</v>
      </c>
      <c r="E177" s="66" t="s">
        <v>713</v>
      </c>
      <c r="F177" t="s">
        <v>1069</v>
      </c>
      <c r="G177" s="364">
        <v>-265700.68376128259</v>
      </c>
      <c r="H177" t="s">
        <v>2580</v>
      </c>
      <c r="K177" s="415">
        <v>171</v>
      </c>
      <c r="L177" s="415">
        <v>150</v>
      </c>
      <c r="M177" s="415"/>
      <c r="N177" s="66" t="s">
        <v>713</v>
      </c>
      <c r="O177" t="s">
        <v>1943</v>
      </c>
      <c r="P177" s="577">
        <v>912731.99</v>
      </c>
      <c r="Q177" s="577">
        <v>429734.77719453885</v>
      </c>
      <c r="R177" s="577">
        <v>564365.61875720695</v>
      </c>
      <c r="S177" s="577">
        <v>41782.88829635927</v>
      </c>
      <c r="T177" s="577">
        <v>11130.655751894965</v>
      </c>
      <c r="U177" s="577">
        <v>0</v>
      </c>
      <c r="V177" s="200"/>
      <c r="W177" s="577">
        <v>131418.73376128267</v>
      </c>
      <c r="X177" s="590">
        <v>1047013.94</v>
      </c>
      <c r="Y177" s="577">
        <v>1178432.6737612826</v>
      </c>
      <c r="Z177" s="577">
        <v>-265700.68376128259</v>
      </c>
      <c r="AA177" s="375">
        <f t="shared" si="2"/>
        <v>0</v>
      </c>
    </row>
    <row r="178" spans="3:27" ht="15">
      <c r="C178" s="415">
        <v>172</v>
      </c>
      <c r="D178" s="415">
        <v>150</v>
      </c>
      <c r="E178" s="66" t="s">
        <v>416</v>
      </c>
      <c r="F178" t="s">
        <v>939</v>
      </c>
      <c r="G178" s="364">
        <v>-38220.7079171277</v>
      </c>
      <c r="H178" t="s">
        <v>2580</v>
      </c>
      <c r="K178" s="415">
        <v>172</v>
      </c>
      <c r="L178" s="415">
        <v>190</v>
      </c>
      <c r="M178" s="415"/>
      <c r="N178" s="66" t="s">
        <v>416</v>
      </c>
      <c r="O178" t="s">
        <v>1791</v>
      </c>
      <c r="P178" s="577">
        <v>322736.21999999997</v>
      </c>
      <c r="Q178" s="577">
        <v>106464.06881876246</v>
      </c>
      <c r="R178" s="577">
        <v>182159.03660188196</v>
      </c>
      <c r="S178" s="577">
        <v>7877.4049809377502</v>
      </c>
      <c r="T178" s="577">
        <v>24327.489598417818</v>
      </c>
      <c r="U178" s="577">
        <v>0</v>
      </c>
      <c r="V178" s="497"/>
      <c r="W178" s="577">
        <v>40128.927917127665</v>
      </c>
      <c r="X178" s="590">
        <v>320828</v>
      </c>
      <c r="Y178" s="577">
        <v>360956.92791712767</v>
      </c>
      <c r="Z178" s="577">
        <v>-38220.7079171277</v>
      </c>
      <c r="AA178" s="375">
        <f t="shared" si="2"/>
        <v>0</v>
      </c>
    </row>
    <row r="179" spans="3:27" ht="15">
      <c r="C179" s="415">
        <v>173</v>
      </c>
      <c r="D179" s="415">
        <v>190</v>
      </c>
      <c r="E179" s="66" t="s">
        <v>494</v>
      </c>
      <c r="F179" t="s">
        <v>1617</v>
      </c>
      <c r="G179" s="364">
        <v>6155.0184839999711</v>
      </c>
      <c r="H179" t="s">
        <v>2580</v>
      </c>
      <c r="K179" s="415">
        <v>173</v>
      </c>
      <c r="L179" s="415">
        <v>178</v>
      </c>
      <c r="M179" s="415"/>
      <c r="N179" s="66" t="s">
        <v>494</v>
      </c>
      <c r="O179" t="s">
        <v>1829</v>
      </c>
      <c r="P179" s="577">
        <v>240096.06</v>
      </c>
      <c r="Q179" s="577">
        <v>123839.73</v>
      </c>
      <c r="R179" s="577">
        <v>83338.290000000008</v>
      </c>
      <c r="S179" s="577">
        <v>6361.75</v>
      </c>
      <c r="T179" s="577">
        <v>888.5</v>
      </c>
      <c r="U179" s="577">
        <v>0</v>
      </c>
      <c r="V179" s="497"/>
      <c r="W179" s="577">
        <v>19512.771516000001</v>
      </c>
      <c r="X179" s="590">
        <v>214428.27000000002</v>
      </c>
      <c r="Y179" s="577">
        <v>233941.04151600003</v>
      </c>
      <c r="Z179" s="577">
        <v>6155.0184839999711</v>
      </c>
      <c r="AA179" s="375">
        <f t="shared" si="2"/>
        <v>0</v>
      </c>
    </row>
    <row r="180" spans="3:27" ht="15">
      <c r="C180" s="415">
        <v>174</v>
      </c>
      <c r="D180" s="415">
        <v>178</v>
      </c>
      <c r="E180" s="66" t="s">
        <v>472</v>
      </c>
      <c r="F180" t="s">
        <v>965</v>
      </c>
      <c r="G180" s="364">
        <v>-124006.95289300001</v>
      </c>
      <c r="H180" t="s">
        <v>2580</v>
      </c>
      <c r="K180" s="415">
        <v>174</v>
      </c>
      <c r="L180" s="415">
        <v>193</v>
      </c>
      <c r="M180" s="415"/>
      <c r="N180" s="66" t="s">
        <v>472</v>
      </c>
      <c r="O180" t="s">
        <v>2597</v>
      </c>
      <c r="P180" s="577">
        <v>166539.85</v>
      </c>
      <c r="Q180" s="577">
        <v>94377.71</v>
      </c>
      <c r="R180" s="577">
        <v>137553.81</v>
      </c>
      <c r="S180" s="577">
        <v>9907.33</v>
      </c>
      <c r="T180" s="577">
        <v>5640.47</v>
      </c>
      <c r="U180" s="577">
        <v>0</v>
      </c>
      <c r="V180" s="200"/>
      <c r="W180" s="577">
        <v>43067.482892999993</v>
      </c>
      <c r="X180" s="590">
        <v>247479.32</v>
      </c>
      <c r="Y180" s="577">
        <v>290546.80289300001</v>
      </c>
      <c r="Z180" s="577">
        <v>-124006.95289300001</v>
      </c>
      <c r="AA180" s="375">
        <f t="shared" si="2"/>
        <v>0</v>
      </c>
    </row>
    <row r="181" spans="3:27" ht="15">
      <c r="C181" s="415">
        <v>175</v>
      </c>
      <c r="D181" s="415">
        <v>193</v>
      </c>
      <c r="E181" s="66" t="s">
        <v>499</v>
      </c>
      <c r="F181" t="s">
        <v>979</v>
      </c>
      <c r="G181" s="364">
        <v>-196111.51788499986</v>
      </c>
      <c r="H181" t="s">
        <v>2580</v>
      </c>
      <c r="K181" s="415">
        <v>175</v>
      </c>
      <c r="L181" s="415">
        <v>247</v>
      </c>
      <c r="M181" s="415"/>
      <c r="N181" s="66" t="s">
        <v>499</v>
      </c>
      <c r="O181" t="s">
        <v>1832</v>
      </c>
      <c r="P181" s="577">
        <v>841326.16</v>
      </c>
      <c r="Q181" s="577">
        <v>348127.8</v>
      </c>
      <c r="R181" s="577">
        <v>493016.83999999997</v>
      </c>
      <c r="S181" s="577">
        <v>3701.7</v>
      </c>
      <c r="T181" s="577">
        <v>3276.95</v>
      </c>
      <c r="U181" s="577">
        <v>46065.68</v>
      </c>
      <c r="V181" s="497"/>
      <c r="W181" s="577">
        <v>143248.70788499998</v>
      </c>
      <c r="X181" s="590">
        <v>894188.96999999986</v>
      </c>
      <c r="Y181" s="577">
        <v>1037437.6778849999</v>
      </c>
      <c r="Z181" s="577">
        <v>-196111.51788499986</v>
      </c>
      <c r="AA181" s="375">
        <f t="shared" si="2"/>
        <v>0</v>
      </c>
    </row>
    <row r="182" spans="3:27" ht="15">
      <c r="C182" s="415">
        <v>176</v>
      </c>
      <c r="D182" s="415">
        <v>247</v>
      </c>
      <c r="E182" s="66" t="s">
        <v>598</v>
      </c>
      <c r="F182" t="s">
        <v>1018</v>
      </c>
      <c r="G182" s="364">
        <v>-200095.9349813757</v>
      </c>
      <c r="H182" t="s">
        <v>2580</v>
      </c>
      <c r="K182" s="415">
        <v>176</v>
      </c>
      <c r="L182" s="415">
        <v>297</v>
      </c>
      <c r="M182" s="415"/>
      <c r="N182" s="66" t="s">
        <v>598</v>
      </c>
      <c r="O182" t="s">
        <v>1881</v>
      </c>
      <c r="P182" s="577">
        <v>633624.38</v>
      </c>
      <c r="Q182" s="577">
        <v>253109.59034746408</v>
      </c>
      <c r="R182" s="577">
        <v>430506.20890907478</v>
      </c>
      <c r="S182" s="577">
        <v>24337.968491983294</v>
      </c>
      <c r="T182" s="577">
        <v>30008.202251477796</v>
      </c>
      <c r="U182" s="577">
        <v>0</v>
      </c>
      <c r="V182" s="200"/>
      <c r="W182" s="577">
        <v>95758.344981375849</v>
      </c>
      <c r="X182" s="590">
        <v>737961.96999999986</v>
      </c>
      <c r="Y182" s="577">
        <v>833720.3149813757</v>
      </c>
      <c r="Z182" s="577">
        <v>-200095.9349813757</v>
      </c>
      <c r="AA182" s="375">
        <f t="shared" si="2"/>
        <v>0</v>
      </c>
    </row>
    <row r="183" spans="3:27" ht="15">
      <c r="C183" s="415">
        <v>177</v>
      </c>
      <c r="D183" s="415">
        <v>297</v>
      </c>
      <c r="E183" s="66" t="s">
        <v>681</v>
      </c>
      <c r="F183" t="s">
        <v>1057</v>
      </c>
      <c r="G183" s="364">
        <v>-64550.297243999783</v>
      </c>
      <c r="H183" t="s">
        <v>2580</v>
      </c>
      <c r="K183" s="415">
        <v>177</v>
      </c>
      <c r="L183" s="415">
        <v>78</v>
      </c>
      <c r="M183" s="415"/>
      <c r="N183" s="66" t="s">
        <v>681</v>
      </c>
      <c r="O183" t="s">
        <v>1926</v>
      </c>
      <c r="P183" s="577">
        <v>1857602.11</v>
      </c>
      <c r="Q183" s="577">
        <v>799312.06</v>
      </c>
      <c r="R183" s="577">
        <v>885085.10000000009</v>
      </c>
      <c r="S183" s="577">
        <v>83605.14</v>
      </c>
      <c r="T183" s="577">
        <v>16603.150000000001</v>
      </c>
      <c r="U183" s="577">
        <v>0</v>
      </c>
      <c r="V183" s="497"/>
      <c r="W183" s="577">
        <v>137546.95724400002</v>
      </c>
      <c r="X183" s="590">
        <v>1784605.45</v>
      </c>
      <c r="Y183" s="577">
        <v>1922152.4072439999</v>
      </c>
      <c r="Z183" s="577">
        <v>-64550.297243999783</v>
      </c>
      <c r="AA183" s="375">
        <f t="shared" si="2"/>
        <v>0</v>
      </c>
    </row>
    <row r="184" spans="3:27" ht="15">
      <c r="C184" s="415">
        <v>178</v>
      </c>
      <c r="D184" s="415">
        <v>78</v>
      </c>
      <c r="E184" s="66" t="s">
        <v>301</v>
      </c>
      <c r="F184" t="s">
        <v>889</v>
      </c>
      <c r="G184" s="364">
        <v>-138594.60891199991</v>
      </c>
      <c r="H184" t="s">
        <v>2580</v>
      </c>
      <c r="K184" s="415">
        <v>178</v>
      </c>
      <c r="L184" s="415">
        <v>61</v>
      </c>
      <c r="M184" s="415"/>
      <c r="N184" s="66" t="s">
        <v>301</v>
      </c>
      <c r="O184" t="s">
        <v>1730</v>
      </c>
      <c r="P184" s="577">
        <v>436764.95</v>
      </c>
      <c r="Q184" s="577">
        <v>170627.5</v>
      </c>
      <c r="R184" s="577">
        <v>332812.93</v>
      </c>
      <c r="S184" s="577">
        <v>4932.24</v>
      </c>
      <c r="T184" s="577">
        <v>1340</v>
      </c>
      <c r="U184" s="577">
        <v>0</v>
      </c>
      <c r="V184" s="200"/>
      <c r="W184" s="577">
        <v>65646.888911999995</v>
      </c>
      <c r="X184" s="590">
        <v>509712.67</v>
      </c>
      <c r="Y184" s="577">
        <v>575359.55891199992</v>
      </c>
      <c r="Z184" s="577">
        <v>-138594.60891199991</v>
      </c>
      <c r="AA184" s="375">
        <f t="shared" si="2"/>
        <v>0</v>
      </c>
    </row>
    <row r="185" spans="3:27" ht="15">
      <c r="C185" s="415">
        <v>179</v>
      </c>
      <c r="D185" s="415">
        <v>61</v>
      </c>
      <c r="E185" s="66" t="s">
        <v>269</v>
      </c>
      <c r="F185" t="s">
        <v>875</v>
      </c>
      <c r="G185" s="364">
        <v>-187119.41885699984</v>
      </c>
      <c r="H185" t="s">
        <v>2580</v>
      </c>
      <c r="K185" s="415">
        <v>179</v>
      </c>
      <c r="L185" s="415">
        <v>128</v>
      </c>
      <c r="M185" s="415"/>
      <c r="N185" s="66" t="s">
        <v>269</v>
      </c>
      <c r="O185" t="s">
        <v>1714</v>
      </c>
      <c r="P185" s="577">
        <v>1454871.11</v>
      </c>
      <c r="Q185" s="577">
        <v>703861.83</v>
      </c>
      <c r="R185" s="577">
        <v>622383.67999999993</v>
      </c>
      <c r="S185" s="577">
        <v>81004.540000000008</v>
      </c>
      <c r="T185" s="577">
        <v>93185.569999999992</v>
      </c>
      <c r="U185" s="577">
        <v>7491.54</v>
      </c>
      <c r="V185" s="200"/>
      <c r="W185" s="577">
        <v>134063.36885699999</v>
      </c>
      <c r="X185" s="590">
        <v>1507927.16</v>
      </c>
      <c r="Y185" s="577">
        <v>1641990.5288569999</v>
      </c>
      <c r="Z185" s="577">
        <v>-187119.41885699984</v>
      </c>
      <c r="AA185" s="375">
        <f t="shared" si="2"/>
        <v>0</v>
      </c>
    </row>
    <row r="186" spans="3:27" ht="15">
      <c r="C186" s="415">
        <v>180</v>
      </c>
      <c r="D186" s="415">
        <v>128</v>
      </c>
      <c r="E186" s="66" t="s">
        <v>378</v>
      </c>
      <c r="F186" t="s">
        <v>926</v>
      </c>
      <c r="G186" s="364">
        <v>-932188.51260761498</v>
      </c>
      <c r="H186" t="s">
        <v>2580</v>
      </c>
      <c r="K186" s="415">
        <v>180</v>
      </c>
      <c r="L186" s="415">
        <v>176</v>
      </c>
      <c r="M186" s="415"/>
      <c r="N186" s="66" t="s">
        <v>378</v>
      </c>
      <c r="O186" t="s">
        <v>1771</v>
      </c>
      <c r="P186" s="577">
        <v>2408923.02</v>
      </c>
      <c r="Q186" s="577">
        <v>993225.60703614296</v>
      </c>
      <c r="R186" s="577">
        <v>1751327.8141185273</v>
      </c>
      <c r="S186" s="577">
        <v>73410.13072327408</v>
      </c>
      <c r="T186" s="577">
        <v>81013.61812205553</v>
      </c>
      <c r="U186" s="577">
        <v>0</v>
      </c>
      <c r="V186" s="200"/>
      <c r="W186" s="577">
        <v>442134.36260761484</v>
      </c>
      <c r="X186" s="590">
        <v>2898977.1700000004</v>
      </c>
      <c r="Y186" s="577">
        <v>3341111.532607615</v>
      </c>
      <c r="Z186" s="577">
        <v>-932188.51260761498</v>
      </c>
      <c r="AA186" s="375">
        <f t="shared" si="2"/>
        <v>0</v>
      </c>
    </row>
    <row r="187" spans="3:27" ht="15">
      <c r="C187" s="415">
        <v>181</v>
      </c>
      <c r="D187" s="415">
        <v>176</v>
      </c>
      <c r="E187" s="66" t="s">
        <v>468</v>
      </c>
      <c r="F187" t="s">
        <v>963</v>
      </c>
      <c r="G187" s="364">
        <v>-93149.122001049109</v>
      </c>
      <c r="H187" t="s">
        <v>2580</v>
      </c>
      <c r="K187" s="415">
        <v>181</v>
      </c>
      <c r="L187" s="415">
        <v>192</v>
      </c>
      <c r="M187" s="415"/>
      <c r="N187" s="66" t="s">
        <v>468</v>
      </c>
      <c r="O187" t="s">
        <v>1817</v>
      </c>
      <c r="P187" s="577">
        <v>1900839.61</v>
      </c>
      <c r="Q187" s="577">
        <v>906885.8135039683</v>
      </c>
      <c r="R187" s="577">
        <v>861636.12127954047</v>
      </c>
      <c r="S187" s="577">
        <v>37345.170961827542</v>
      </c>
      <c r="T187" s="577">
        <v>15165.124254663773</v>
      </c>
      <c r="U187" s="577">
        <v>0</v>
      </c>
      <c r="V187" s="200"/>
      <c r="W187" s="577">
        <v>172956.50200104923</v>
      </c>
      <c r="X187" s="590">
        <v>1821032.23</v>
      </c>
      <c r="Y187" s="577">
        <v>1993988.7320010492</v>
      </c>
      <c r="Z187" s="577">
        <v>-93149.122001049109</v>
      </c>
      <c r="AA187" s="375">
        <f t="shared" si="2"/>
        <v>0</v>
      </c>
    </row>
    <row r="188" spans="3:27" ht="15">
      <c r="C188" s="415">
        <v>182</v>
      </c>
      <c r="D188" s="415">
        <v>192</v>
      </c>
      <c r="E188" s="66" t="s">
        <v>497</v>
      </c>
      <c r="F188" t="s">
        <v>978</v>
      </c>
      <c r="G188" s="364">
        <v>-107734.527525</v>
      </c>
      <c r="H188" t="s">
        <v>2580</v>
      </c>
      <c r="K188" s="415">
        <v>182</v>
      </c>
      <c r="L188" s="415">
        <v>275</v>
      </c>
      <c r="M188" s="415"/>
      <c r="N188" s="66" t="s">
        <v>497</v>
      </c>
      <c r="O188" t="s">
        <v>1831</v>
      </c>
      <c r="P188" s="577">
        <v>47260.92</v>
      </c>
      <c r="Q188" s="577">
        <v>47143.97</v>
      </c>
      <c r="R188" s="577">
        <v>76122.209999999992</v>
      </c>
      <c r="S188" s="577">
        <v>1385.14</v>
      </c>
      <c r="T188" s="577">
        <v>0</v>
      </c>
      <c r="U188" s="577">
        <v>0</v>
      </c>
      <c r="V188" s="498"/>
      <c r="W188" s="577">
        <v>30344.127524999996</v>
      </c>
      <c r="X188" s="590">
        <v>124651.31999999999</v>
      </c>
      <c r="Y188" s="577">
        <v>154995.447525</v>
      </c>
      <c r="Z188" s="577">
        <v>-107734.527525</v>
      </c>
      <c r="AA188" s="375">
        <f t="shared" si="2"/>
        <v>0</v>
      </c>
    </row>
    <row r="189" spans="3:27" ht="15">
      <c r="C189" s="415">
        <v>183</v>
      </c>
      <c r="D189" s="415">
        <v>275</v>
      </c>
      <c r="E189" s="66" t="s">
        <v>642</v>
      </c>
      <c r="F189" t="s">
        <v>1038</v>
      </c>
      <c r="G189" s="364">
        <v>-413580.63889264129</v>
      </c>
      <c r="H189" t="s">
        <v>2580</v>
      </c>
      <c r="K189" s="415">
        <v>183</v>
      </c>
      <c r="L189" s="415">
        <v>272</v>
      </c>
      <c r="M189" s="415"/>
      <c r="N189" s="66" t="s">
        <v>642</v>
      </c>
      <c r="O189" t="s">
        <v>2598</v>
      </c>
      <c r="P189" s="577">
        <v>8689298.4199999999</v>
      </c>
      <c r="Q189" s="577">
        <v>3411513.6369814593</v>
      </c>
      <c r="R189" s="577">
        <v>4614380.5946261911</v>
      </c>
      <c r="S189" s="577">
        <v>270874.93725274934</v>
      </c>
      <c r="T189" s="577">
        <v>192693.63113960018</v>
      </c>
      <c r="U189" s="577">
        <v>0</v>
      </c>
      <c r="V189" s="200"/>
      <c r="W189" s="577">
        <v>613416.25889263977</v>
      </c>
      <c r="X189" s="590">
        <v>8489462.8000000007</v>
      </c>
      <c r="Y189" s="577">
        <v>9102879.0588926412</v>
      </c>
      <c r="Z189" s="577">
        <v>-413580.63889264129</v>
      </c>
      <c r="AA189" s="375">
        <f t="shared" si="2"/>
        <v>0</v>
      </c>
    </row>
    <row r="190" spans="3:27" ht="15">
      <c r="C190" s="415">
        <v>184</v>
      </c>
      <c r="D190" s="415">
        <v>272</v>
      </c>
      <c r="E190" s="66" t="s">
        <v>636</v>
      </c>
      <c r="F190" t="s">
        <v>1035</v>
      </c>
      <c r="G190" s="364">
        <v>-27503.371264000016</v>
      </c>
      <c r="H190" t="s">
        <v>2580</v>
      </c>
      <c r="K190" s="415">
        <v>184</v>
      </c>
      <c r="L190" s="415">
        <v>115</v>
      </c>
      <c r="M190" s="415"/>
      <c r="N190" s="66" t="s">
        <v>636</v>
      </c>
      <c r="O190" t="s">
        <v>1902</v>
      </c>
      <c r="P190" s="577">
        <v>257911.57</v>
      </c>
      <c r="Q190" s="577">
        <v>109230.35</v>
      </c>
      <c r="R190" s="577">
        <v>123051.70999999999</v>
      </c>
      <c r="S190" s="577">
        <v>4548.8500000000004</v>
      </c>
      <c r="T190" s="577">
        <v>8250</v>
      </c>
      <c r="U190" s="577">
        <v>0</v>
      </c>
      <c r="V190" s="498"/>
      <c r="W190" s="577">
        <v>40334.031263999997</v>
      </c>
      <c r="X190" s="590">
        <v>245080.91</v>
      </c>
      <c r="Y190" s="577">
        <v>285414.94126400002</v>
      </c>
      <c r="Z190" s="577">
        <v>-27503.371264000016</v>
      </c>
      <c r="AA190" s="375">
        <f t="shared" si="2"/>
        <v>0</v>
      </c>
    </row>
    <row r="191" spans="3:27" ht="15">
      <c r="C191" s="415">
        <v>185</v>
      </c>
      <c r="D191" s="415">
        <v>115</v>
      </c>
      <c r="E191" s="66" t="s">
        <v>372</v>
      </c>
      <c r="F191" t="s">
        <v>924</v>
      </c>
      <c r="G191" s="364">
        <v>-802728.32825360261</v>
      </c>
      <c r="H191" t="s">
        <v>2580</v>
      </c>
      <c r="K191" s="415">
        <v>185</v>
      </c>
      <c r="L191" s="415">
        <v>89</v>
      </c>
      <c r="M191" s="415"/>
      <c r="N191" s="66" t="s">
        <v>372</v>
      </c>
      <c r="O191" t="s">
        <v>1767</v>
      </c>
      <c r="P191" s="577">
        <v>9892469.4499999993</v>
      </c>
      <c r="Q191" s="577">
        <v>3609099.5137862391</v>
      </c>
      <c r="R191" s="577">
        <v>5592508.063826466</v>
      </c>
      <c r="S191" s="577">
        <v>317847.58419370797</v>
      </c>
      <c r="T191" s="577">
        <v>255990.96032910037</v>
      </c>
      <c r="U191" s="577">
        <v>171157.17786448658</v>
      </c>
      <c r="V191" s="200"/>
      <c r="W191" s="577">
        <v>748594.47825360193</v>
      </c>
      <c r="X191" s="590">
        <v>9946603.3000000007</v>
      </c>
      <c r="Y191" s="577">
        <v>10695197.778253602</v>
      </c>
      <c r="Z191" s="577">
        <v>-802728.32825360261</v>
      </c>
      <c r="AA191" s="375">
        <f t="shared" si="2"/>
        <v>0</v>
      </c>
    </row>
    <row r="192" spans="3:27" ht="15">
      <c r="C192" s="415">
        <v>186</v>
      </c>
      <c r="D192" s="415">
        <v>89</v>
      </c>
      <c r="E192" s="66" t="s">
        <v>322</v>
      </c>
      <c r="F192" t="s">
        <v>899</v>
      </c>
      <c r="G192" s="364">
        <v>-1673186.7740719994</v>
      </c>
      <c r="H192" t="s">
        <v>2580</v>
      </c>
      <c r="K192" s="415">
        <v>186</v>
      </c>
      <c r="L192" s="415">
        <v>313</v>
      </c>
      <c r="M192" s="415"/>
      <c r="N192" s="66" t="s">
        <v>322</v>
      </c>
      <c r="O192" t="s">
        <v>1741</v>
      </c>
      <c r="P192" s="577">
        <v>3245582.35</v>
      </c>
      <c r="Q192" s="577">
        <v>1310329.0699999998</v>
      </c>
      <c r="R192" s="577">
        <v>2818349.1399999997</v>
      </c>
      <c r="S192" s="577">
        <v>190408.74</v>
      </c>
      <c r="T192" s="577">
        <v>37367.440000000315</v>
      </c>
      <c r="U192" s="577">
        <v>0</v>
      </c>
      <c r="V192" s="200"/>
      <c r="W192" s="577">
        <v>562314.73407200002</v>
      </c>
      <c r="X192" s="590">
        <v>4356454.3899999997</v>
      </c>
      <c r="Y192" s="577">
        <v>4918769.1240719995</v>
      </c>
      <c r="Z192" s="577">
        <v>-1673186.7740719994</v>
      </c>
      <c r="AA192" s="375">
        <f t="shared" si="2"/>
        <v>0</v>
      </c>
    </row>
    <row r="193" spans="3:27" ht="15">
      <c r="C193" s="415">
        <v>187</v>
      </c>
      <c r="D193" s="415">
        <v>313</v>
      </c>
      <c r="E193" s="66" t="s">
        <v>709</v>
      </c>
      <c r="F193" s="340" t="s">
        <v>710</v>
      </c>
      <c r="G193" s="364">
        <v>-153971.38211699997</v>
      </c>
      <c r="H193" t="s">
        <v>2580</v>
      </c>
      <c r="K193" s="415">
        <v>187</v>
      </c>
      <c r="L193" s="415">
        <v>88</v>
      </c>
      <c r="M193" s="415"/>
      <c r="N193" s="66" t="s">
        <v>709</v>
      </c>
      <c r="O193" t="s">
        <v>1941</v>
      </c>
      <c r="P193" s="577">
        <v>107158.75</v>
      </c>
      <c r="Q193" s="577">
        <v>68263.12</v>
      </c>
      <c r="R193" s="577">
        <v>128841.92</v>
      </c>
      <c r="S193" s="577">
        <v>6533.63</v>
      </c>
      <c r="T193" s="577">
        <v>8522.84</v>
      </c>
      <c r="U193" s="577">
        <v>0</v>
      </c>
      <c r="V193" s="200"/>
      <c r="W193" s="577">
        <v>48968.622116999992</v>
      </c>
      <c r="X193" s="590">
        <v>212161.50999999998</v>
      </c>
      <c r="Y193" s="577">
        <v>261130.13211699997</v>
      </c>
      <c r="Z193" s="577">
        <v>-153971.38211699997</v>
      </c>
      <c r="AA193" s="375">
        <f t="shared" si="2"/>
        <v>0</v>
      </c>
    </row>
    <row r="194" spans="3:27" ht="15">
      <c r="C194" s="415">
        <v>188</v>
      </c>
      <c r="D194" s="415">
        <v>88</v>
      </c>
      <c r="E194" s="66" t="s">
        <v>320</v>
      </c>
      <c r="F194" t="s">
        <v>898</v>
      </c>
      <c r="G194" s="364">
        <v>-162012.03586199996</v>
      </c>
      <c r="H194" t="s">
        <v>2580</v>
      </c>
      <c r="K194" s="415">
        <v>188</v>
      </c>
      <c r="L194" s="415">
        <v>187</v>
      </c>
      <c r="M194" s="415"/>
      <c r="N194" s="66" t="s">
        <v>320</v>
      </c>
      <c r="O194" t="s">
        <v>1740</v>
      </c>
      <c r="P194" s="577">
        <v>280760.90000000002</v>
      </c>
      <c r="Q194" s="577">
        <v>184165.12</v>
      </c>
      <c r="R194" s="577">
        <v>188701.19</v>
      </c>
      <c r="S194" s="577">
        <v>4251.8</v>
      </c>
      <c r="T194" s="577">
        <v>10948.15</v>
      </c>
      <c r="U194" s="577">
        <v>0</v>
      </c>
      <c r="V194" s="200"/>
      <c r="W194" s="577">
        <v>54706.675861999989</v>
      </c>
      <c r="X194" s="590">
        <v>388066.26</v>
      </c>
      <c r="Y194" s="577">
        <v>442772.93586199998</v>
      </c>
      <c r="Z194" s="577">
        <v>-162012.03586199996</v>
      </c>
      <c r="AA194" s="375">
        <f t="shared" si="2"/>
        <v>0</v>
      </c>
    </row>
    <row r="195" spans="3:27" ht="15">
      <c r="C195" s="415">
        <v>189</v>
      </c>
      <c r="D195" s="415">
        <v>187</v>
      </c>
      <c r="E195" s="66" t="s">
        <v>488</v>
      </c>
      <c r="F195" t="s">
        <v>973</v>
      </c>
      <c r="G195" s="364">
        <v>24443.203944999957</v>
      </c>
      <c r="H195" t="s">
        <v>2580</v>
      </c>
      <c r="K195" s="415">
        <v>189</v>
      </c>
      <c r="L195" s="415">
        <v>87</v>
      </c>
      <c r="M195" s="415"/>
      <c r="N195" s="66" t="s">
        <v>488</v>
      </c>
      <c r="O195" t="s">
        <v>1826</v>
      </c>
      <c r="P195" s="577">
        <v>787626.89</v>
      </c>
      <c r="Q195" s="577">
        <v>371784.49</v>
      </c>
      <c r="R195" s="577">
        <v>285995.87</v>
      </c>
      <c r="S195" s="577">
        <v>16881.560000000001</v>
      </c>
      <c r="T195" s="577">
        <v>14276.12</v>
      </c>
      <c r="U195" s="577">
        <v>0</v>
      </c>
      <c r="V195" s="200"/>
      <c r="W195" s="577">
        <v>74245.646055000005</v>
      </c>
      <c r="X195" s="590">
        <v>688938.04</v>
      </c>
      <c r="Y195" s="577">
        <v>763183.68605500006</v>
      </c>
      <c r="Z195" s="577">
        <v>24443.203944999957</v>
      </c>
      <c r="AA195" s="375">
        <f t="shared" si="2"/>
        <v>0</v>
      </c>
    </row>
    <row r="196" spans="3:27" ht="15">
      <c r="C196" s="415">
        <v>190</v>
      </c>
      <c r="D196" s="415">
        <v>87</v>
      </c>
      <c r="E196" s="66" t="s">
        <v>318</v>
      </c>
      <c r="F196" t="s">
        <v>897</v>
      </c>
      <c r="G196" s="364">
        <v>-229002.02830399986</v>
      </c>
      <c r="H196" t="s">
        <v>2580</v>
      </c>
      <c r="K196" s="415">
        <v>190</v>
      </c>
      <c r="L196" s="415">
        <v>167</v>
      </c>
      <c r="M196" s="415"/>
      <c r="N196" s="66" t="s">
        <v>318</v>
      </c>
      <c r="O196" t="s">
        <v>1739</v>
      </c>
      <c r="P196" s="577">
        <v>495974.56</v>
      </c>
      <c r="Q196" s="577">
        <v>369045.67</v>
      </c>
      <c r="R196" s="577">
        <v>275524.03999999998</v>
      </c>
      <c r="S196" s="577">
        <v>20944.59</v>
      </c>
      <c r="T196" s="577">
        <v>3086.09</v>
      </c>
      <c r="U196" s="577">
        <v>0</v>
      </c>
      <c r="V196" s="200"/>
      <c r="W196" s="577">
        <v>56376.198304000005</v>
      </c>
      <c r="X196" s="590">
        <v>668600.3899999999</v>
      </c>
      <c r="Y196" s="577">
        <v>724976.58830399986</v>
      </c>
      <c r="Z196" s="577">
        <v>-229002.02830399986</v>
      </c>
      <c r="AA196" s="375">
        <f t="shared" si="2"/>
        <v>0</v>
      </c>
    </row>
    <row r="197" spans="3:27" ht="15">
      <c r="C197" s="415">
        <v>191</v>
      </c>
      <c r="D197" s="415">
        <v>167</v>
      </c>
      <c r="E197" s="66" t="s">
        <v>450</v>
      </c>
      <c r="F197" t="s">
        <v>954</v>
      </c>
      <c r="G197" s="364">
        <v>-39510.599724</v>
      </c>
      <c r="H197" t="s">
        <v>2580</v>
      </c>
      <c r="K197" s="415">
        <v>191</v>
      </c>
      <c r="L197" s="415">
        <v>180</v>
      </c>
      <c r="M197" s="415"/>
      <c r="N197" s="66" t="s">
        <v>450</v>
      </c>
      <c r="O197" t="s">
        <v>1808</v>
      </c>
      <c r="P197" s="577">
        <v>178180.54</v>
      </c>
      <c r="Q197" s="577">
        <v>80558.559999999998</v>
      </c>
      <c r="R197" s="577">
        <v>95822.97</v>
      </c>
      <c r="S197" s="577">
        <v>3773.5</v>
      </c>
      <c r="T197" s="577">
        <v>8450</v>
      </c>
      <c r="U197" s="577">
        <v>0</v>
      </c>
      <c r="V197" s="200"/>
      <c r="W197" s="577">
        <v>29086.109723999998</v>
      </c>
      <c r="X197" s="590">
        <v>188605.03</v>
      </c>
      <c r="Y197" s="577">
        <v>217691.13972400001</v>
      </c>
      <c r="Z197" s="577">
        <v>-39510.599724</v>
      </c>
      <c r="AA197" s="375">
        <f t="shared" si="2"/>
        <v>0</v>
      </c>
    </row>
    <row r="198" spans="3:27" ht="15">
      <c r="C198" s="415">
        <v>192</v>
      </c>
      <c r="D198" s="415">
        <v>180</v>
      </c>
      <c r="E198" s="66" t="s">
        <v>476</v>
      </c>
      <c r="F198" t="s">
        <v>967</v>
      </c>
      <c r="G198" s="364">
        <v>-110841.96182000008</v>
      </c>
      <c r="H198" t="s">
        <v>2580</v>
      </c>
      <c r="K198" s="415">
        <v>192</v>
      </c>
      <c r="L198" s="415">
        <v>277</v>
      </c>
      <c r="M198" s="415"/>
      <c r="N198" s="66" t="s">
        <v>476</v>
      </c>
      <c r="O198" t="s">
        <v>1820</v>
      </c>
      <c r="P198" s="577">
        <v>692878.82</v>
      </c>
      <c r="Q198" s="577">
        <v>274288.76</v>
      </c>
      <c r="R198" s="577">
        <v>388858.3</v>
      </c>
      <c r="S198" s="577">
        <v>20685.73</v>
      </c>
      <c r="T198" s="577">
        <v>33606.569999999978</v>
      </c>
      <c r="U198" s="577">
        <v>0</v>
      </c>
      <c r="V198" s="200"/>
      <c r="W198" s="577">
        <v>86281.421820000003</v>
      </c>
      <c r="X198" s="590">
        <v>717439.36</v>
      </c>
      <c r="Y198" s="577">
        <v>803720.78182000003</v>
      </c>
      <c r="Z198" s="577">
        <v>-110841.96182000008</v>
      </c>
      <c r="AA198" s="375">
        <f t="shared" si="2"/>
        <v>0</v>
      </c>
    </row>
    <row r="199" spans="3:27" ht="15">
      <c r="C199" s="415">
        <v>193</v>
      </c>
      <c r="D199" s="415">
        <v>277</v>
      </c>
      <c r="E199" s="66" t="s">
        <v>646</v>
      </c>
      <c r="F199" t="s">
        <v>1040</v>
      </c>
      <c r="G199" s="364">
        <v>-1275161.2839701539</v>
      </c>
      <c r="H199" t="s">
        <v>2580</v>
      </c>
      <c r="K199" s="415">
        <v>193</v>
      </c>
      <c r="L199" s="415">
        <v>179</v>
      </c>
      <c r="M199" s="415"/>
      <c r="N199" s="66" t="s">
        <v>646</v>
      </c>
      <c r="O199" t="s">
        <v>1907</v>
      </c>
      <c r="P199" s="577">
        <v>3818147.88</v>
      </c>
      <c r="Q199" s="577">
        <v>1549229.5055069651</v>
      </c>
      <c r="R199" s="577">
        <v>2822360.5471665002</v>
      </c>
      <c r="S199" s="577">
        <v>219692.16825696305</v>
      </c>
      <c r="T199" s="577">
        <v>29776.654612205944</v>
      </c>
      <c r="U199" s="577">
        <v>28370.944457365556</v>
      </c>
      <c r="V199" s="200"/>
      <c r="W199" s="577">
        <v>443879.34397015418</v>
      </c>
      <c r="X199" s="590">
        <v>4649429.8199999994</v>
      </c>
      <c r="Y199" s="577">
        <v>5093309.1639701538</v>
      </c>
      <c r="Z199" s="577">
        <v>-1275161.2839701539</v>
      </c>
      <c r="AA199" s="375">
        <f t="shared" si="2"/>
        <v>0</v>
      </c>
    </row>
    <row r="200" spans="3:27" ht="15">
      <c r="C200" s="415">
        <v>194</v>
      </c>
      <c r="D200" s="415">
        <v>179</v>
      </c>
      <c r="E200" s="66" t="s">
        <v>474</v>
      </c>
      <c r="F200" t="s">
        <v>966</v>
      </c>
      <c r="G200" s="364">
        <v>-115948.89175199997</v>
      </c>
      <c r="H200" t="s">
        <v>2580</v>
      </c>
      <c r="K200" s="415">
        <v>194</v>
      </c>
      <c r="L200" s="415">
        <v>158</v>
      </c>
      <c r="M200" s="415"/>
      <c r="N200" s="66" t="s">
        <v>474</v>
      </c>
      <c r="O200" t="s">
        <v>1819</v>
      </c>
      <c r="P200" s="577">
        <v>929957.21</v>
      </c>
      <c r="Q200" s="577">
        <v>314007.74</v>
      </c>
      <c r="R200" s="577">
        <v>507562.73</v>
      </c>
      <c r="S200" s="577">
        <v>32063</v>
      </c>
      <c r="T200" s="577">
        <v>103462.18999999997</v>
      </c>
      <c r="U200" s="577">
        <v>0</v>
      </c>
      <c r="V200" s="200"/>
      <c r="W200" s="577">
        <v>88810.441751999984</v>
      </c>
      <c r="X200" s="590">
        <v>957095.65999999992</v>
      </c>
      <c r="Y200" s="577">
        <v>1045906.1017519999</v>
      </c>
      <c r="Z200" s="577">
        <v>-115948.89175199997</v>
      </c>
      <c r="AA200" s="375">
        <f t="shared" ref="AA200:AA263" si="3">+G200-Z200</f>
        <v>0</v>
      </c>
    </row>
    <row r="201" spans="3:27" ht="15">
      <c r="C201" s="415">
        <v>195</v>
      </c>
      <c r="D201" s="415">
        <v>158</v>
      </c>
      <c r="E201" s="66" t="s">
        <v>432</v>
      </c>
      <c r="F201" t="s">
        <v>946</v>
      </c>
      <c r="G201" s="364">
        <v>50006.013374999864</v>
      </c>
      <c r="H201" t="s">
        <v>2580</v>
      </c>
      <c r="K201" s="415">
        <v>195</v>
      </c>
      <c r="L201" s="415">
        <v>262</v>
      </c>
      <c r="M201" s="415"/>
      <c r="N201" s="66" t="s">
        <v>432</v>
      </c>
      <c r="O201" t="s">
        <v>1799</v>
      </c>
      <c r="P201" s="577">
        <v>738203.46</v>
      </c>
      <c r="Q201" s="577">
        <v>239679.5</v>
      </c>
      <c r="R201" s="577">
        <v>347610.81000000006</v>
      </c>
      <c r="S201" s="577">
        <v>23838.53</v>
      </c>
      <c r="T201" s="577">
        <v>13709.91</v>
      </c>
      <c r="U201" s="577">
        <v>0</v>
      </c>
      <c r="V201" s="200"/>
      <c r="W201" s="577">
        <v>63358.696625000011</v>
      </c>
      <c r="X201" s="590">
        <v>624838.75000000012</v>
      </c>
      <c r="Y201" s="577">
        <v>688197.4466250001</v>
      </c>
      <c r="Z201" s="577">
        <v>50006.013374999864</v>
      </c>
      <c r="AA201" s="375">
        <f t="shared" si="3"/>
        <v>0</v>
      </c>
    </row>
    <row r="202" spans="3:27" ht="15">
      <c r="C202" s="415">
        <v>196</v>
      </c>
      <c r="D202" s="415">
        <v>262</v>
      </c>
      <c r="E202" s="66" t="s">
        <v>618</v>
      </c>
      <c r="F202" t="s">
        <v>1027</v>
      </c>
      <c r="G202" s="364">
        <v>-76699.675556000002</v>
      </c>
      <c r="H202" t="s">
        <v>2580</v>
      </c>
      <c r="K202" s="415">
        <v>196</v>
      </c>
      <c r="L202" s="415">
        <v>215</v>
      </c>
      <c r="M202" s="415"/>
      <c r="N202" s="66" t="s">
        <v>618</v>
      </c>
      <c r="O202" t="s">
        <v>1892</v>
      </c>
      <c r="P202" s="577">
        <v>68527.320000000007</v>
      </c>
      <c r="Q202" s="577">
        <v>45380.5</v>
      </c>
      <c r="R202" s="577">
        <v>67683.19</v>
      </c>
      <c r="S202" s="577">
        <v>3264.4700000000003</v>
      </c>
      <c r="T202" s="577">
        <v>8510</v>
      </c>
      <c r="U202" s="577">
        <v>0</v>
      </c>
      <c r="V202" s="200"/>
      <c r="W202" s="577">
        <v>20388.835556000002</v>
      </c>
      <c r="X202" s="590">
        <v>124838.16</v>
      </c>
      <c r="Y202" s="577">
        <v>145226.99555600001</v>
      </c>
      <c r="Z202" s="577">
        <v>-76699.675556000002</v>
      </c>
      <c r="AA202" s="375">
        <f t="shared" si="3"/>
        <v>0</v>
      </c>
    </row>
    <row r="203" spans="3:27" ht="15">
      <c r="C203" s="415">
        <v>197</v>
      </c>
      <c r="D203" s="415">
        <v>215</v>
      </c>
      <c r="E203" s="66" t="s">
        <v>537</v>
      </c>
      <c r="F203" t="s">
        <v>1618</v>
      </c>
      <c r="G203" s="364">
        <v>-186534.78716800001</v>
      </c>
      <c r="H203" t="s">
        <v>2580</v>
      </c>
      <c r="K203" s="415">
        <v>197</v>
      </c>
      <c r="L203" s="415">
        <v>245</v>
      </c>
      <c r="M203" s="415"/>
      <c r="N203" s="66" t="s">
        <v>537</v>
      </c>
      <c r="O203" t="s">
        <v>1851</v>
      </c>
      <c r="P203" s="577">
        <v>304285.02</v>
      </c>
      <c r="Q203" s="577">
        <v>167778.2</v>
      </c>
      <c r="R203" s="577">
        <v>226049.25</v>
      </c>
      <c r="S203" s="577">
        <v>18007.45</v>
      </c>
      <c r="T203" s="577">
        <v>7777.38</v>
      </c>
      <c r="U203" s="577">
        <v>5831.4</v>
      </c>
      <c r="V203" s="200"/>
      <c r="W203" s="577">
        <v>65376.127168000006</v>
      </c>
      <c r="X203" s="590">
        <v>425443.68000000005</v>
      </c>
      <c r="Y203" s="577">
        <v>490819.80716800003</v>
      </c>
      <c r="Z203" s="577">
        <v>-186534.78716800001</v>
      </c>
      <c r="AA203" s="375">
        <f t="shared" si="3"/>
        <v>0</v>
      </c>
    </row>
    <row r="204" spans="3:27" ht="15">
      <c r="C204" s="415">
        <v>198</v>
      </c>
      <c r="D204" s="415">
        <v>245</v>
      </c>
      <c r="E204" s="66" t="s">
        <v>594</v>
      </c>
      <c r="F204" s="340" t="s">
        <v>595</v>
      </c>
      <c r="G204" s="364">
        <v>-3147.07</v>
      </c>
      <c r="H204" t="s">
        <v>2580</v>
      </c>
      <c r="K204" s="415">
        <v>198</v>
      </c>
      <c r="L204" s="415">
        <v>57</v>
      </c>
      <c r="M204" s="415"/>
      <c r="N204" s="66" t="s">
        <v>594</v>
      </c>
      <c r="O204" s="79" t="s">
        <v>2323</v>
      </c>
      <c r="P204" s="578">
        <v>561</v>
      </c>
      <c r="Q204" s="578"/>
      <c r="R204" s="578">
        <v>2967.67</v>
      </c>
      <c r="S204" s="578">
        <v>600</v>
      </c>
      <c r="T204" s="578"/>
      <c r="U204" s="578"/>
      <c r="V204" s="497"/>
      <c r="W204" s="578">
        <v>140.4</v>
      </c>
      <c r="X204" s="578">
        <v>3567.67</v>
      </c>
      <c r="Y204" s="578">
        <v>3708.07</v>
      </c>
      <c r="Z204" s="578">
        <v>-3147.07</v>
      </c>
      <c r="AA204" s="375">
        <f t="shared" si="3"/>
        <v>0</v>
      </c>
    </row>
    <row r="205" spans="3:27" ht="15">
      <c r="C205" s="415">
        <v>199</v>
      </c>
      <c r="D205" s="415">
        <v>57</v>
      </c>
      <c r="E205" s="66" t="s">
        <v>261</v>
      </c>
      <c r="F205" t="s">
        <v>871</v>
      </c>
      <c r="G205" s="364">
        <v>-47436.341520000009</v>
      </c>
      <c r="H205" t="s">
        <v>2580</v>
      </c>
      <c r="K205" s="415">
        <v>199</v>
      </c>
      <c r="L205" s="415">
        <v>49</v>
      </c>
      <c r="M205" s="415"/>
      <c r="N205" s="66" t="s">
        <v>261</v>
      </c>
      <c r="O205" t="s">
        <v>1710</v>
      </c>
      <c r="P205" s="577">
        <v>51344.52</v>
      </c>
      <c r="Q205" s="577">
        <v>30501.27</v>
      </c>
      <c r="R205" s="577">
        <v>48006.3</v>
      </c>
      <c r="S205" s="577">
        <v>3736.83</v>
      </c>
      <c r="T205" s="577">
        <v>941.74</v>
      </c>
      <c r="U205" s="577">
        <v>0</v>
      </c>
      <c r="V205" s="200"/>
      <c r="W205" s="577">
        <v>15594.721519999999</v>
      </c>
      <c r="X205" s="590">
        <v>83186.140000000014</v>
      </c>
      <c r="Y205" s="577">
        <v>98780.861520000006</v>
      </c>
      <c r="Z205" s="577">
        <v>-47436.341520000009</v>
      </c>
      <c r="AA205" s="375">
        <f t="shared" si="3"/>
        <v>0</v>
      </c>
    </row>
    <row r="206" spans="3:27" ht="15">
      <c r="C206" s="415">
        <v>200</v>
      </c>
      <c r="D206" s="415">
        <v>49</v>
      </c>
      <c r="E206" s="66" t="s">
        <v>245</v>
      </c>
      <c r="F206" t="s">
        <v>863</v>
      </c>
      <c r="G206" s="364">
        <v>-55354.861639777489</v>
      </c>
      <c r="H206" t="s">
        <v>2580</v>
      </c>
      <c r="K206" s="415">
        <v>200</v>
      </c>
      <c r="L206" s="415">
        <v>185</v>
      </c>
      <c r="M206" s="415"/>
      <c r="N206" s="66" t="s">
        <v>245</v>
      </c>
      <c r="O206" t="s">
        <v>1702</v>
      </c>
      <c r="P206" s="577">
        <v>137988.82999999999</v>
      </c>
      <c r="Q206" s="577">
        <v>75276.915620619751</v>
      </c>
      <c r="R206" s="577">
        <v>48539.134168500561</v>
      </c>
      <c r="S206" s="577">
        <v>5607.1942339896495</v>
      </c>
      <c r="T206" s="577">
        <v>42605.925976890052</v>
      </c>
      <c r="U206" s="577">
        <v>0</v>
      </c>
      <c r="V206" s="200"/>
      <c r="W206" s="577">
        <v>21314.521639777471</v>
      </c>
      <c r="X206" s="590">
        <v>172029.17</v>
      </c>
      <c r="Y206" s="577">
        <v>193343.69163977748</v>
      </c>
      <c r="Z206" s="577">
        <v>-55354.861639777489</v>
      </c>
      <c r="AA206" s="375">
        <f t="shared" si="3"/>
        <v>0</v>
      </c>
    </row>
    <row r="207" spans="3:27" ht="15">
      <c r="C207" s="415">
        <v>201</v>
      </c>
      <c r="D207" s="415">
        <v>185</v>
      </c>
      <c r="E207" s="66" t="s">
        <v>486</v>
      </c>
      <c r="F207" t="s">
        <v>972</v>
      </c>
      <c r="G207" s="364">
        <v>-109332.44981200004</v>
      </c>
      <c r="H207" t="s">
        <v>2580</v>
      </c>
      <c r="K207" s="415">
        <v>201</v>
      </c>
      <c r="L207" s="415">
        <v>203</v>
      </c>
      <c r="M207" s="415"/>
      <c r="N207" s="66" t="s">
        <v>486</v>
      </c>
      <c r="O207" t="s">
        <v>1825</v>
      </c>
      <c r="P207" s="577">
        <v>436273.37</v>
      </c>
      <c r="Q207" s="577">
        <v>154755.12</v>
      </c>
      <c r="R207" s="577">
        <v>222847.68</v>
      </c>
      <c r="S207" s="577">
        <v>17776.870000000003</v>
      </c>
      <c r="T207" s="577">
        <v>72197.56</v>
      </c>
      <c r="U207" s="577">
        <v>73.319999999999993</v>
      </c>
      <c r="V207" s="200"/>
      <c r="W207" s="577">
        <v>77955.269811999999</v>
      </c>
      <c r="X207" s="590">
        <v>467650.55</v>
      </c>
      <c r="Y207" s="577">
        <v>545605.81981200003</v>
      </c>
      <c r="Z207" s="577">
        <v>-109332.44981200004</v>
      </c>
      <c r="AA207" s="375">
        <f t="shared" si="3"/>
        <v>0</v>
      </c>
    </row>
    <row r="208" spans="3:27" ht="15">
      <c r="C208" s="415">
        <v>202</v>
      </c>
      <c r="D208" s="415">
        <v>203</v>
      </c>
      <c r="E208" s="66" t="s">
        <v>519</v>
      </c>
      <c r="F208" t="s">
        <v>989</v>
      </c>
      <c r="G208" s="364">
        <v>-451419.57300799992</v>
      </c>
      <c r="H208" t="s">
        <v>2580</v>
      </c>
      <c r="K208" s="415">
        <v>202</v>
      </c>
      <c r="L208" s="415">
        <v>3</v>
      </c>
      <c r="M208" s="415"/>
      <c r="N208" s="66" t="s">
        <v>519</v>
      </c>
      <c r="O208" t="s">
        <v>1841</v>
      </c>
      <c r="P208" s="577">
        <v>1124346.68</v>
      </c>
      <c r="Q208" s="577">
        <v>506693.61</v>
      </c>
      <c r="R208" s="577">
        <v>738896.03999999992</v>
      </c>
      <c r="S208" s="577">
        <v>38541.729999999996</v>
      </c>
      <c r="T208" s="577">
        <v>118233.01000000001</v>
      </c>
      <c r="U208" s="577">
        <v>0</v>
      </c>
      <c r="V208" s="200"/>
      <c r="W208" s="577">
        <v>173401.86300799999</v>
      </c>
      <c r="X208" s="590">
        <v>1402364.39</v>
      </c>
      <c r="Y208" s="577">
        <v>1575766.2530079999</v>
      </c>
      <c r="Z208" s="577">
        <v>-451419.57300799992</v>
      </c>
      <c r="AA208" s="375">
        <f t="shared" si="3"/>
        <v>0</v>
      </c>
    </row>
    <row r="209" spans="3:27" ht="15">
      <c r="C209" s="415">
        <v>203</v>
      </c>
      <c r="D209" s="415">
        <v>3</v>
      </c>
      <c r="E209" s="66" t="s">
        <v>167</v>
      </c>
      <c r="F209" t="s">
        <v>829</v>
      </c>
      <c r="G209" s="364">
        <v>102318.9146540002</v>
      </c>
      <c r="H209" t="s">
        <v>2580</v>
      </c>
      <c r="K209" s="415">
        <v>203</v>
      </c>
      <c r="L209" s="415">
        <v>51</v>
      </c>
      <c r="M209" s="415"/>
      <c r="N209" s="66" t="s">
        <v>167</v>
      </c>
      <c r="O209" t="s">
        <v>1661</v>
      </c>
      <c r="P209" s="577">
        <v>4137915.2</v>
      </c>
      <c r="Q209" s="577">
        <v>1892625.05</v>
      </c>
      <c r="R209" s="577">
        <v>1775797.45</v>
      </c>
      <c r="S209" s="577">
        <v>74963.179999999993</v>
      </c>
      <c r="T209" s="577">
        <v>15613.900000000001</v>
      </c>
      <c r="U209" s="577">
        <v>0</v>
      </c>
      <c r="V209" s="200"/>
      <c r="W209" s="577">
        <v>276596.70534599997</v>
      </c>
      <c r="X209" s="590">
        <v>3758999.58</v>
      </c>
      <c r="Y209" s="577">
        <v>4035596.285346</v>
      </c>
      <c r="Z209" s="577">
        <v>102318.9146540002</v>
      </c>
      <c r="AA209" s="375">
        <f t="shared" si="3"/>
        <v>0</v>
      </c>
    </row>
    <row r="210" spans="3:27" ht="15">
      <c r="C210" s="415">
        <v>204</v>
      </c>
      <c r="D210" s="415">
        <v>51</v>
      </c>
      <c r="E210" s="66" t="s">
        <v>249</v>
      </c>
      <c r="F210" t="s">
        <v>865</v>
      </c>
      <c r="G210" s="364">
        <v>-25118.847839999995</v>
      </c>
      <c r="H210" t="s">
        <v>2580</v>
      </c>
      <c r="K210" s="415">
        <v>204</v>
      </c>
      <c r="L210" s="415">
        <v>306</v>
      </c>
      <c r="M210" s="415"/>
      <c r="N210" s="66" t="s">
        <v>249</v>
      </c>
      <c r="O210" t="s">
        <v>1704</v>
      </c>
      <c r="P210" s="577">
        <v>28748.18</v>
      </c>
      <c r="Q210" s="577">
        <v>9068.7199999999993</v>
      </c>
      <c r="R210" s="577">
        <v>19750.27</v>
      </c>
      <c r="S210" s="577">
        <v>333.17</v>
      </c>
      <c r="T210" s="577">
        <v>12549.359999999999</v>
      </c>
      <c r="U210" s="577">
        <v>0</v>
      </c>
      <c r="V210" s="497"/>
      <c r="W210" s="577">
        <v>12165.507839999998</v>
      </c>
      <c r="X210" s="590">
        <v>41701.519999999997</v>
      </c>
      <c r="Y210" s="577">
        <v>53867.027839999995</v>
      </c>
      <c r="Z210" s="577">
        <v>-25118.847839999995</v>
      </c>
      <c r="AA210" s="375">
        <f t="shared" si="3"/>
        <v>0</v>
      </c>
    </row>
    <row r="211" spans="3:27" ht="15">
      <c r="C211" s="415">
        <v>205</v>
      </c>
      <c r="D211" s="415">
        <v>306</v>
      </c>
      <c r="E211" s="66" t="s">
        <v>695</v>
      </c>
      <c r="F211" t="s">
        <v>696</v>
      </c>
      <c r="G211" s="364">
        <v>-88765.437684000004</v>
      </c>
      <c r="H211" t="s">
        <v>2580</v>
      </c>
      <c r="K211" s="415">
        <v>205</v>
      </c>
      <c r="L211" s="415">
        <v>186</v>
      </c>
      <c r="M211" s="415"/>
      <c r="N211" s="66" t="s">
        <v>695</v>
      </c>
      <c r="O211" t="s">
        <v>1934</v>
      </c>
      <c r="P211" s="577">
        <v>191099.68</v>
      </c>
      <c r="Q211" s="577">
        <v>82704.61</v>
      </c>
      <c r="R211" s="577">
        <v>130080.57999999999</v>
      </c>
      <c r="S211" s="577">
        <v>10751.18</v>
      </c>
      <c r="T211" s="577">
        <v>8917.98</v>
      </c>
      <c r="U211" s="577">
        <v>0</v>
      </c>
      <c r="V211" s="200"/>
      <c r="W211" s="577">
        <v>47410.767683999999</v>
      </c>
      <c r="X211" s="590">
        <v>232454.35</v>
      </c>
      <c r="Y211" s="577">
        <v>279865.117684</v>
      </c>
      <c r="Z211" s="577">
        <v>-88765.437684000004</v>
      </c>
      <c r="AA211" s="375">
        <f t="shared" si="3"/>
        <v>0</v>
      </c>
    </row>
    <row r="212" spans="3:27" ht="15">
      <c r="C212" s="415">
        <v>206</v>
      </c>
      <c r="D212" s="415">
        <v>186</v>
      </c>
      <c r="E212" s="66" t="s">
        <v>2305</v>
      </c>
      <c r="F212" s="426" t="s">
        <v>2433</v>
      </c>
      <c r="G212" s="364">
        <v>-6627.3057050000061</v>
      </c>
      <c r="H212" t="s">
        <v>2580</v>
      </c>
      <c r="K212" s="415">
        <v>206</v>
      </c>
      <c r="L212" s="415">
        <v>60</v>
      </c>
      <c r="M212" s="415"/>
      <c r="N212" s="66" t="s">
        <v>2305</v>
      </c>
      <c r="O212" t="s">
        <v>2395</v>
      </c>
      <c r="P212" s="577">
        <v>134884.31</v>
      </c>
      <c r="Q212" s="577">
        <v>91709.68</v>
      </c>
      <c r="R212" s="577">
        <v>23174.63</v>
      </c>
      <c r="S212" s="577">
        <v>20000</v>
      </c>
      <c r="T212" s="577">
        <v>0</v>
      </c>
      <c r="U212" s="577">
        <v>0</v>
      </c>
      <c r="V212" s="497"/>
      <c r="W212" s="577">
        <v>6627.3057050000007</v>
      </c>
      <c r="X212" s="590">
        <v>134884.31</v>
      </c>
      <c r="Y212" s="577">
        <v>141511.615705</v>
      </c>
      <c r="Z212" s="577">
        <v>-6627.3057050000061</v>
      </c>
      <c r="AA212" s="375">
        <f t="shared" si="3"/>
        <v>0</v>
      </c>
    </row>
    <row r="213" spans="3:27" ht="15">
      <c r="C213" s="415">
        <v>207</v>
      </c>
      <c r="D213" s="415">
        <v>60</v>
      </c>
      <c r="E213" s="66" t="s">
        <v>267</v>
      </c>
      <c r="F213" t="s">
        <v>874</v>
      </c>
      <c r="G213" s="364">
        <v>-1390289.1734989993</v>
      </c>
      <c r="H213" t="s">
        <v>2580</v>
      </c>
      <c r="K213" s="415">
        <v>207</v>
      </c>
      <c r="L213" s="415">
        <v>182</v>
      </c>
      <c r="M213" s="415"/>
      <c r="N213" s="66" t="s">
        <v>267</v>
      </c>
      <c r="O213" t="s">
        <v>1713</v>
      </c>
      <c r="P213" s="577">
        <v>12796405.83</v>
      </c>
      <c r="Q213" s="577">
        <v>6303163.5</v>
      </c>
      <c r="R213" s="577">
        <v>6335632.8100000005</v>
      </c>
      <c r="S213" s="577">
        <v>505096.61</v>
      </c>
      <c r="T213" s="577">
        <v>131722.31</v>
      </c>
      <c r="U213" s="577">
        <v>30459.119999999999</v>
      </c>
      <c r="V213" s="200"/>
      <c r="W213" s="577">
        <v>880620.65349900001</v>
      </c>
      <c r="X213" s="590">
        <v>13306074.35</v>
      </c>
      <c r="Y213" s="577">
        <v>14186695.003498999</v>
      </c>
      <c r="Z213" s="577">
        <v>-1390289.1734989993</v>
      </c>
      <c r="AA213" s="375">
        <f t="shared" si="3"/>
        <v>0</v>
      </c>
    </row>
    <row r="214" spans="3:27" ht="15">
      <c r="C214" s="415">
        <v>208</v>
      </c>
      <c r="D214" s="415">
        <v>182</v>
      </c>
      <c r="E214" s="66" t="s">
        <v>480</v>
      </c>
      <c r="F214" t="s">
        <v>969</v>
      </c>
      <c r="G214" s="364">
        <v>-111507.563223</v>
      </c>
      <c r="H214" t="s">
        <v>2580</v>
      </c>
      <c r="K214" s="415">
        <v>208</v>
      </c>
      <c r="L214" s="415">
        <v>9</v>
      </c>
      <c r="M214" s="415"/>
      <c r="N214" s="66" t="s">
        <v>480</v>
      </c>
      <c r="O214" t="s">
        <v>1822</v>
      </c>
      <c r="P214" s="577">
        <v>149986.63</v>
      </c>
      <c r="Q214" s="577">
        <v>88457.82</v>
      </c>
      <c r="R214" s="577">
        <v>112959.56</v>
      </c>
      <c r="S214" s="577">
        <v>8781.51</v>
      </c>
      <c r="T214" s="577">
        <v>210</v>
      </c>
      <c r="U214" s="577">
        <v>0</v>
      </c>
      <c r="V214" s="200"/>
      <c r="W214" s="577">
        <v>51085.303222999995</v>
      </c>
      <c r="X214" s="590">
        <v>210408.89</v>
      </c>
      <c r="Y214" s="577">
        <v>261494.19322300001</v>
      </c>
      <c r="Z214" s="577">
        <v>-111507.563223</v>
      </c>
      <c r="AA214" s="375">
        <f t="shared" si="3"/>
        <v>0</v>
      </c>
    </row>
    <row r="215" spans="3:27" ht="15">
      <c r="C215" s="415">
        <v>209</v>
      </c>
      <c r="D215" s="415">
        <v>9</v>
      </c>
      <c r="E215" s="66" t="s">
        <v>179</v>
      </c>
      <c r="F215" t="s">
        <v>834</v>
      </c>
      <c r="G215" s="364">
        <v>-23012.060000000012</v>
      </c>
      <c r="H215" t="s">
        <v>2580</v>
      </c>
      <c r="K215" s="415">
        <v>209</v>
      </c>
      <c r="L215" s="415">
        <v>159</v>
      </c>
      <c r="M215" s="415"/>
      <c r="N215" s="66" t="s">
        <v>179</v>
      </c>
      <c r="O215" t="s">
        <v>1667</v>
      </c>
      <c r="P215" s="577">
        <v>77946.83</v>
      </c>
      <c r="Q215" s="577">
        <v>52585.15</v>
      </c>
      <c r="R215" s="577">
        <v>43947.460000000006</v>
      </c>
      <c r="S215" s="577">
        <v>3484.6</v>
      </c>
      <c r="T215" s="577">
        <v>941.68</v>
      </c>
      <c r="U215" s="577">
        <v>0</v>
      </c>
      <c r="V215" s="200"/>
      <c r="W215" s="577">
        <v>0</v>
      </c>
      <c r="X215" s="590">
        <v>100958.89000000001</v>
      </c>
      <c r="Y215" s="577">
        <v>100958.89000000001</v>
      </c>
      <c r="Z215" s="577">
        <v>-23012.060000000012</v>
      </c>
      <c r="AA215" s="375">
        <f t="shared" si="3"/>
        <v>0</v>
      </c>
    </row>
    <row r="216" spans="3:27" ht="15">
      <c r="C216" s="415">
        <v>210</v>
      </c>
      <c r="D216" s="415">
        <v>159</v>
      </c>
      <c r="E216" s="66" t="s">
        <v>434</v>
      </c>
      <c r="F216" t="s">
        <v>947</v>
      </c>
      <c r="G216" s="364">
        <v>-9252.7643999999855</v>
      </c>
      <c r="H216" t="s">
        <v>2580</v>
      </c>
      <c r="K216" s="415">
        <v>210</v>
      </c>
      <c r="L216" s="415">
        <v>205</v>
      </c>
      <c r="M216" s="415"/>
      <c r="N216" s="66" t="s">
        <v>434</v>
      </c>
      <c r="O216" t="s">
        <v>1800</v>
      </c>
      <c r="P216" s="577">
        <v>254068.88</v>
      </c>
      <c r="Q216" s="577">
        <v>107725.31</v>
      </c>
      <c r="R216" s="577">
        <v>130822.36</v>
      </c>
      <c r="S216" s="577">
        <v>53.24</v>
      </c>
      <c r="T216" s="577">
        <v>2112.7199999999998</v>
      </c>
      <c r="U216" s="577">
        <v>0</v>
      </c>
      <c r="V216" s="200"/>
      <c r="W216" s="577">
        <v>22608.014400000004</v>
      </c>
      <c r="X216" s="590">
        <v>240713.62999999998</v>
      </c>
      <c r="Y216" s="577">
        <v>263321.64439999999</v>
      </c>
      <c r="Z216" s="577">
        <v>-9252.7643999999855</v>
      </c>
      <c r="AA216" s="375">
        <f t="shared" si="3"/>
        <v>0</v>
      </c>
    </row>
    <row r="217" spans="3:27" ht="15">
      <c r="C217" s="415">
        <v>211</v>
      </c>
      <c r="D217" s="415">
        <v>205</v>
      </c>
      <c r="E217" s="66" t="s">
        <v>523</v>
      </c>
      <c r="F217" t="s">
        <v>991</v>
      </c>
      <c r="G217" s="364">
        <v>-946952.02670203568</v>
      </c>
      <c r="H217" t="s">
        <v>2580</v>
      </c>
      <c r="K217" s="415">
        <v>211</v>
      </c>
      <c r="L217" s="415">
        <v>22</v>
      </c>
      <c r="M217" s="415"/>
      <c r="N217" s="66" t="s">
        <v>523</v>
      </c>
      <c r="O217" t="s">
        <v>1843</v>
      </c>
      <c r="P217" s="577">
        <v>3487907.61</v>
      </c>
      <c r="Q217" s="577">
        <v>1424333.6831859469</v>
      </c>
      <c r="R217" s="577">
        <v>1808516.8058318498</v>
      </c>
      <c r="S217" s="577">
        <v>277997.60112696461</v>
      </c>
      <c r="T217" s="577">
        <v>491873.69985523861</v>
      </c>
      <c r="U217" s="577">
        <v>0</v>
      </c>
      <c r="V217" s="200"/>
      <c r="W217" s="577">
        <v>432137.84670203528</v>
      </c>
      <c r="X217" s="590">
        <v>4002721.79</v>
      </c>
      <c r="Y217" s="577">
        <v>4434859.6367020356</v>
      </c>
      <c r="Z217" s="577">
        <v>-946952.02670203568</v>
      </c>
      <c r="AA217" s="375">
        <f t="shared" si="3"/>
        <v>0</v>
      </c>
    </row>
    <row r="218" spans="3:27" ht="15">
      <c r="C218" s="415">
        <v>212</v>
      </c>
      <c r="D218" s="415">
        <v>22</v>
      </c>
      <c r="E218" s="66" t="s">
        <v>1655</v>
      </c>
      <c r="F218" s="229" t="s">
        <v>1994</v>
      </c>
      <c r="G218" s="364">
        <v>-84898.696165000001</v>
      </c>
      <c r="H218" t="s">
        <v>2580</v>
      </c>
      <c r="K218" s="415">
        <v>212</v>
      </c>
      <c r="L218" s="415">
        <v>175</v>
      </c>
      <c r="M218" s="415"/>
      <c r="N218" s="66" t="s">
        <v>1655</v>
      </c>
      <c r="O218" t="s">
        <v>2599</v>
      </c>
      <c r="P218" s="577">
        <v>143701.38</v>
      </c>
      <c r="Q218" s="577">
        <v>98090.559999999998</v>
      </c>
      <c r="R218" s="577">
        <v>113142.19</v>
      </c>
      <c r="S218" s="577">
        <v>0</v>
      </c>
      <c r="T218" s="577">
        <v>0</v>
      </c>
      <c r="U218" s="577">
        <v>0</v>
      </c>
      <c r="V218" s="200"/>
      <c r="W218" s="577">
        <v>17367.326164999999</v>
      </c>
      <c r="X218" s="590">
        <v>211232.75</v>
      </c>
      <c r="Y218" s="577">
        <v>228600.07616500001</v>
      </c>
      <c r="Z218" s="577">
        <v>-84898.696165000001</v>
      </c>
      <c r="AA218" s="375">
        <f t="shared" si="3"/>
        <v>0</v>
      </c>
    </row>
    <row r="219" spans="3:27" ht="15">
      <c r="C219" s="415">
        <v>213</v>
      </c>
      <c r="D219" s="415">
        <v>175</v>
      </c>
      <c r="E219" s="66" t="s">
        <v>466</v>
      </c>
      <c r="F219" t="s">
        <v>962</v>
      </c>
      <c r="G219" s="364">
        <v>-24607.214451000094</v>
      </c>
      <c r="H219" t="s">
        <v>2580</v>
      </c>
      <c r="K219" s="415">
        <v>213</v>
      </c>
      <c r="L219" s="415">
        <v>65</v>
      </c>
      <c r="M219" s="415"/>
      <c r="N219" s="66" t="s">
        <v>466</v>
      </c>
      <c r="O219" t="s">
        <v>1816</v>
      </c>
      <c r="P219" s="577">
        <v>567401.86</v>
      </c>
      <c r="Q219" s="577">
        <v>243407.37</v>
      </c>
      <c r="R219" s="577">
        <v>274082.71000000002</v>
      </c>
      <c r="S219" s="577">
        <v>3041.61</v>
      </c>
      <c r="T219" s="577">
        <v>10904.85</v>
      </c>
      <c r="U219" s="577">
        <v>0</v>
      </c>
      <c r="V219" s="497"/>
      <c r="W219" s="577">
        <v>60572.534450999992</v>
      </c>
      <c r="X219" s="590">
        <v>531436.54</v>
      </c>
      <c r="Y219" s="577">
        <v>592009.07445100008</v>
      </c>
      <c r="Z219" s="577">
        <v>-24607.214451000094</v>
      </c>
      <c r="AA219" s="375">
        <f t="shared" si="3"/>
        <v>0</v>
      </c>
    </row>
    <row r="220" spans="3:27" ht="15">
      <c r="C220" s="415">
        <v>214</v>
      </c>
      <c r="D220" s="415">
        <v>65</v>
      </c>
      <c r="E220" s="66" t="s">
        <v>275</v>
      </c>
      <c r="F220" t="s">
        <v>877</v>
      </c>
      <c r="G220" s="364">
        <v>-169493.07071</v>
      </c>
      <c r="H220" t="s">
        <v>2580</v>
      </c>
      <c r="K220" s="415">
        <v>214</v>
      </c>
      <c r="L220" s="415">
        <v>23</v>
      </c>
      <c r="M220" s="415"/>
      <c r="N220" s="66" t="s">
        <v>275</v>
      </c>
      <c r="O220" t="s">
        <v>1717</v>
      </c>
      <c r="P220" s="577">
        <v>280308.46000000002</v>
      </c>
      <c r="Q220" s="577">
        <v>174524.4</v>
      </c>
      <c r="R220" s="577">
        <v>205875.92</v>
      </c>
      <c r="S220" s="577">
        <v>4711.96</v>
      </c>
      <c r="T220" s="577">
        <v>5910.0599999999995</v>
      </c>
      <c r="U220" s="577">
        <v>0</v>
      </c>
      <c r="V220" s="200"/>
      <c r="W220" s="577">
        <v>58779.190710000003</v>
      </c>
      <c r="X220" s="590">
        <v>391022.34</v>
      </c>
      <c r="Y220" s="577">
        <v>449801.53071000002</v>
      </c>
      <c r="Z220" s="577">
        <v>-169493.07071</v>
      </c>
      <c r="AA220" s="375">
        <f t="shared" si="3"/>
        <v>0</v>
      </c>
    </row>
    <row r="221" spans="3:27" ht="15">
      <c r="C221" s="415">
        <v>215</v>
      </c>
      <c r="D221" s="415">
        <v>23</v>
      </c>
      <c r="E221" s="66" t="s">
        <v>203</v>
      </c>
      <c r="F221" t="s">
        <v>844</v>
      </c>
      <c r="G221" s="364">
        <v>140732.28294597031</v>
      </c>
      <c r="H221" t="s">
        <v>2580</v>
      </c>
      <c r="K221" s="415">
        <v>215</v>
      </c>
      <c r="L221" s="415">
        <v>96</v>
      </c>
      <c r="M221" s="415"/>
      <c r="N221" s="66" t="s">
        <v>203</v>
      </c>
      <c r="O221" t="s">
        <v>1679</v>
      </c>
      <c r="P221" s="577">
        <v>2131373.91</v>
      </c>
      <c r="Q221" s="577">
        <v>816668.90489999996</v>
      </c>
      <c r="R221" s="577">
        <v>777411.86369999999</v>
      </c>
      <c r="S221" s="577">
        <v>139563.38</v>
      </c>
      <c r="T221" s="577">
        <v>73468.291399999987</v>
      </c>
      <c r="U221" s="577">
        <v>0</v>
      </c>
      <c r="V221" s="200"/>
      <c r="W221" s="577">
        <v>183529.18705402999</v>
      </c>
      <c r="X221" s="590">
        <v>1807112.44</v>
      </c>
      <c r="Y221" s="577">
        <v>1990641.6270540298</v>
      </c>
      <c r="Z221" s="577">
        <v>140732.28294597031</v>
      </c>
      <c r="AA221" s="375">
        <f t="shared" si="3"/>
        <v>0</v>
      </c>
    </row>
    <row r="222" spans="3:27" ht="15">
      <c r="C222" s="415">
        <v>216</v>
      </c>
      <c r="D222" s="415">
        <v>96</v>
      </c>
      <c r="E222" s="66" t="s">
        <v>336</v>
      </c>
      <c r="F222" t="s">
        <v>905</v>
      </c>
      <c r="G222" s="364">
        <v>-567536.28053392004</v>
      </c>
      <c r="H222" t="s">
        <v>2580</v>
      </c>
      <c r="K222" s="415">
        <v>216</v>
      </c>
      <c r="L222" s="415">
        <v>291</v>
      </c>
      <c r="M222" s="415"/>
      <c r="N222" s="66" t="s">
        <v>336</v>
      </c>
      <c r="O222" t="s">
        <v>1748</v>
      </c>
      <c r="P222" s="577">
        <v>654889.75</v>
      </c>
      <c r="Q222" s="577">
        <v>395058.3496647178</v>
      </c>
      <c r="R222" s="577">
        <v>622816.98676976468</v>
      </c>
      <c r="S222" s="577">
        <v>30777.958374257123</v>
      </c>
      <c r="T222" s="577">
        <v>9211.6331511922272</v>
      </c>
      <c r="U222" s="577">
        <v>38561.572040068073</v>
      </c>
      <c r="V222" s="200"/>
      <c r="W222" s="577">
        <v>125999.53053392017</v>
      </c>
      <c r="X222" s="590">
        <v>1096426.4999999998</v>
      </c>
      <c r="Y222" s="577">
        <v>1222426.03053392</v>
      </c>
      <c r="Z222" s="577">
        <v>-567536.28053392004</v>
      </c>
      <c r="AA222" s="375">
        <f t="shared" si="3"/>
        <v>0</v>
      </c>
    </row>
    <row r="223" spans="3:27" ht="15">
      <c r="C223" s="415">
        <v>217</v>
      </c>
      <c r="D223" s="415">
        <v>291</v>
      </c>
      <c r="E223" s="66" t="s">
        <v>669</v>
      </c>
      <c r="F223" t="s">
        <v>1051</v>
      </c>
      <c r="G223" s="364">
        <v>-321791.27213599999</v>
      </c>
      <c r="H223" t="s">
        <v>2580</v>
      </c>
      <c r="K223" s="415">
        <v>217</v>
      </c>
      <c r="L223" s="415">
        <v>261</v>
      </c>
      <c r="M223" s="415"/>
      <c r="N223" s="66" t="s">
        <v>669</v>
      </c>
      <c r="O223" t="s">
        <v>1920</v>
      </c>
      <c r="P223" s="577">
        <v>336633.39</v>
      </c>
      <c r="Q223" s="577">
        <v>217964.18</v>
      </c>
      <c r="R223" s="577">
        <v>306140.82</v>
      </c>
      <c r="S223" s="577">
        <v>66182.740000000005</v>
      </c>
      <c r="T223" s="577">
        <v>1359.72</v>
      </c>
      <c r="U223" s="577">
        <v>0</v>
      </c>
      <c r="V223" s="200"/>
      <c r="W223" s="577">
        <v>66777.202135999993</v>
      </c>
      <c r="X223" s="590">
        <v>591647.46</v>
      </c>
      <c r="Y223" s="577">
        <v>658424.662136</v>
      </c>
      <c r="Z223" s="577">
        <v>-321791.27213599999</v>
      </c>
      <c r="AA223" s="375">
        <f t="shared" si="3"/>
        <v>0</v>
      </c>
    </row>
    <row r="224" spans="3:27" ht="15">
      <c r="C224" s="415">
        <v>218</v>
      </c>
      <c r="D224" s="415">
        <v>12</v>
      </c>
      <c r="E224" s="66" t="s">
        <v>185</v>
      </c>
      <c r="F224" t="s">
        <v>836</v>
      </c>
      <c r="G224" s="364">
        <v>-366457.38078800775</v>
      </c>
      <c r="H224" t="s">
        <v>2580</v>
      </c>
      <c r="K224" s="415">
        <v>218</v>
      </c>
      <c r="L224" s="415">
        <v>12</v>
      </c>
      <c r="M224" s="415"/>
      <c r="N224" s="66" t="s">
        <v>185</v>
      </c>
      <c r="O224" t="s">
        <v>1670</v>
      </c>
      <c r="P224" s="577">
        <v>1905877.38</v>
      </c>
      <c r="Q224" s="577">
        <v>919687.50672216259</v>
      </c>
      <c r="R224" s="577">
        <v>1062911.06495612</v>
      </c>
      <c r="S224" s="577">
        <v>63128.572674235525</v>
      </c>
      <c r="T224" s="577">
        <v>21440.130711452515</v>
      </c>
      <c r="U224" s="577">
        <v>1030.8349360293876</v>
      </c>
      <c r="V224" s="200"/>
      <c r="W224" s="577">
        <v>204136.65078800765</v>
      </c>
      <c r="X224" s="590">
        <v>2068198.11</v>
      </c>
      <c r="Y224" s="577">
        <v>2272334.7607880076</v>
      </c>
      <c r="Z224" s="577">
        <v>-366457.38078800775</v>
      </c>
      <c r="AA224" s="375">
        <f t="shared" si="3"/>
        <v>0</v>
      </c>
    </row>
    <row r="225" spans="3:27" ht="15">
      <c r="C225" s="415">
        <v>219</v>
      </c>
      <c r="D225" s="415">
        <v>304</v>
      </c>
      <c r="E225" s="66" t="s">
        <v>691</v>
      </c>
      <c r="F225" t="s">
        <v>1061</v>
      </c>
      <c r="G225" s="364">
        <v>-261395.5758837054</v>
      </c>
      <c r="H225" t="s">
        <v>2580</v>
      </c>
      <c r="K225" s="415">
        <v>219</v>
      </c>
      <c r="L225" s="415">
        <v>304</v>
      </c>
      <c r="M225" s="415"/>
      <c r="N225" s="66" t="s">
        <v>691</v>
      </c>
      <c r="O225" t="s">
        <v>1932</v>
      </c>
      <c r="P225" s="577">
        <v>1270245.3999999999</v>
      </c>
      <c r="Q225" s="577">
        <v>548546.62821075378</v>
      </c>
      <c r="R225" s="577">
        <v>722309.27030262339</v>
      </c>
      <c r="S225" s="577">
        <v>55097.765073347939</v>
      </c>
      <c r="T225" s="577">
        <v>21791.686413274903</v>
      </c>
      <c r="U225" s="577">
        <v>0</v>
      </c>
      <c r="V225" s="200"/>
      <c r="W225" s="577">
        <v>183895.62588370554</v>
      </c>
      <c r="X225" s="590">
        <v>1347745.3499999999</v>
      </c>
      <c r="Y225" s="577">
        <v>1531640.9758837053</v>
      </c>
      <c r="Z225" s="577">
        <v>-261395.5758837054</v>
      </c>
      <c r="AA225" s="375">
        <f t="shared" si="3"/>
        <v>0</v>
      </c>
    </row>
    <row r="226" spans="3:27" ht="15">
      <c r="C226" s="415">
        <v>220</v>
      </c>
      <c r="D226" s="415">
        <v>197</v>
      </c>
      <c r="E226" s="66" t="s">
        <v>507</v>
      </c>
      <c r="F226" t="s">
        <v>983</v>
      </c>
      <c r="G226" s="364">
        <v>-895917.16220990755</v>
      </c>
      <c r="H226" t="s">
        <v>2580</v>
      </c>
      <c r="K226" s="415">
        <v>220</v>
      </c>
      <c r="L226" s="415">
        <v>197</v>
      </c>
      <c r="M226" s="415"/>
      <c r="N226" s="66" t="s">
        <v>507</v>
      </c>
      <c r="O226" t="s">
        <v>1836</v>
      </c>
      <c r="P226" s="577">
        <v>10683229.369999999</v>
      </c>
      <c r="Q226" s="577">
        <v>3827146.8970807642</v>
      </c>
      <c r="R226" s="577">
        <v>5468569.7534979172</v>
      </c>
      <c r="S226" s="577">
        <v>561628.83863762883</v>
      </c>
      <c r="T226" s="577">
        <v>418833.39396909549</v>
      </c>
      <c r="U226" s="577">
        <v>100868.08681459399</v>
      </c>
      <c r="V226" s="200"/>
      <c r="W226" s="577">
        <v>1202099.5622099051</v>
      </c>
      <c r="X226" s="590">
        <v>10377046.970000001</v>
      </c>
      <c r="Y226" s="577">
        <v>11579146.532209907</v>
      </c>
      <c r="Z226" s="577">
        <v>-895917.16220990755</v>
      </c>
      <c r="AA226" s="375">
        <f t="shared" si="3"/>
        <v>0</v>
      </c>
    </row>
    <row r="227" spans="3:27" ht="15">
      <c r="C227" s="415">
        <v>221</v>
      </c>
      <c r="D227" s="415">
        <v>92</v>
      </c>
      <c r="E227" s="66" t="s">
        <v>328</v>
      </c>
      <c r="F227" t="s">
        <v>329</v>
      </c>
      <c r="G227" s="364">
        <v>-139313.80572800001</v>
      </c>
      <c r="H227" t="s">
        <v>2580</v>
      </c>
      <c r="K227" s="415">
        <v>221</v>
      </c>
      <c r="L227" s="415">
        <v>92</v>
      </c>
      <c r="M227" s="415"/>
      <c r="N227" s="66" t="s">
        <v>328</v>
      </c>
      <c r="O227" t="s">
        <v>2600</v>
      </c>
      <c r="P227" s="577">
        <v>25511.11</v>
      </c>
      <c r="Q227" s="577">
        <v>33140.160000000003</v>
      </c>
      <c r="R227" s="577">
        <v>58263.270000000004</v>
      </c>
      <c r="S227" s="577">
        <v>634.41999999999996</v>
      </c>
      <c r="T227" s="577">
        <v>5444.15</v>
      </c>
      <c r="U227" s="577">
        <v>18816.3</v>
      </c>
      <c r="V227" s="200"/>
      <c r="W227" s="577">
        <v>48526.615728000004</v>
      </c>
      <c r="X227" s="590">
        <v>116298.3</v>
      </c>
      <c r="Y227" s="577">
        <v>164824.91572799999</v>
      </c>
      <c r="Z227" s="577">
        <v>-139313.80572800001</v>
      </c>
      <c r="AA227" s="375">
        <f t="shared" si="3"/>
        <v>0</v>
      </c>
    </row>
    <row r="228" spans="3:27" ht="15">
      <c r="C228" s="415">
        <v>222</v>
      </c>
      <c r="D228" s="415">
        <v>94</v>
      </c>
      <c r="E228" s="66" t="s">
        <v>332</v>
      </c>
      <c r="F228" t="s">
        <v>903</v>
      </c>
      <c r="G228" s="364">
        <v>-150011.16566399991</v>
      </c>
      <c r="H228" t="s">
        <v>2580</v>
      </c>
      <c r="K228" s="415">
        <v>222</v>
      </c>
      <c r="L228" s="415">
        <v>94</v>
      </c>
      <c r="M228" s="415"/>
      <c r="N228" s="66" t="s">
        <v>332</v>
      </c>
      <c r="O228" t="s">
        <v>1746</v>
      </c>
      <c r="P228" s="577">
        <v>192535.82</v>
      </c>
      <c r="Q228" s="577">
        <v>95314.54</v>
      </c>
      <c r="R228" s="577">
        <v>197619.99</v>
      </c>
      <c r="S228" s="577">
        <v>7146.47</v>
      </c>
      <c r="T228" s="577">
        <v>4362.66</v>
      </c>
      <c r="U228" s="577">
        <v>0</v>
      </c>
      <c r="V228" s="200"/>
      <c r="W228" s="577">
        <v>38103.325663999996</v>
      </c>
      <c r="X228" s="590">
        <v>304443.65999999992</v>
      </c>
      <c r="Y228" s="577">
        <v>342546.98566399992</v>
      </c>
      <c r="Z228" s="577">
        <v>-150011.16566399991</v>
      </c>
      <c r="AA228" s="375">
        <f t="shared" si="3"/>
        <v>0</v>
      </c>
    </row>
    <row r="229" spans="3:27" ht="15">
      <c r="C229" s="415">
        <v>223</v>
      </c>
      <c r="D229" s="415">
        <v>28</v>
      </c>
      <c r="E229" s="66" t="s">
        <v>1481</v>
      </c>
      <c r="F229" s="346" t="s">
        <v>1610</v>
      </c>
      <c r="G229" s="364">
        <v>-71829.656969999982</v>
      </c>
      <c r="H229" t="s">
        <v>2580</v>
      </c>
      <c r="K229" s="415">
        <v>223</v>
      </c>
      <c r="L229" s="415">
        <v>28</v>
      </c>
      <c r="M229" s="415"/>
      <c r="N229" s="66" t="s">
        <v>1481</v>
      </c>
      <c r="O229" t="s">
        <v>2512</v>
      </c>
      <c r="P229" s="577">
        <v>91321.44</v>
      </c>
      <c r="Q229" s="577">
        <v>67162.11</v>
      </c>
      <c r="R229" s="577">
        <v>78038.009999999995</v>
      </c>
      <c r="S229" s="577">
        <v>2600.2600000000002</v>
      </c>
      <c r="T229" s="577">
        <v>2577.15</v>
      </c>
      <c r="U229" s="577">
        <v>0</v>
      </c>
      <c r="V229" s="498"/>
      <c r="W229" s="577">
        <v>12773.566969999998</v>
      </c>
      <c r="X229" s="590">
        <v>150377.53</v>
      </c>
      <c r="Y229" s="577">
        <v>163151.09696999998</v>
      </c>
      <c r="Z229" s="577">
        <v>-71829.656969999982</v>
      </c>
      <c r="AA229" s="375">
        <f t="shared" si="3"/>
        <v>0</v>
      </c>
    </row>
    <row r="230" spans="3:27" ht="15">
      <c r="C230" s="415">
        <v>224</v>
      </c>
      <c r="D230" s="415">
        <v>27</v>
      </c>
      <c r="E230" s="66" t="s">
        <v>211</v>
      </c>
      <c r="F230" t="s">
        <v>848</v>
      </c>
      <c r="G230" s="364">
        <v>-541022.29085892544</v>
      </c>
      <c r="H230" t="s">
        <v>2580</v>
      </c>
      <c r="K230" s="415">
        <v>224</v>
      </c>
      <c r="L230" s="415">
        <v>27</v>
      </c>
      <c r="M230" s="415"/>
      <c r="N230" s="66" t="s">
        <v>211</v>
      </c>
      <c r="O230" t="s">
        <v>1683</v>
      </c>
      <c r="P230" s="577">
        <v>639669.59</v>
      </c>
      <c r="Q230" s="577">
        <v>381996.16621506994</v>
      </c>
      <c r="R230" s="577">
        <v>655370.47893015214</v>
      </c>
      <c r="S230" s="577">
        <v>43177.775568719873</v>
      </c>
      <c r="T230" s="577">
        <v>20144.508015881318</v>
      </c>
      <c r="U230" s="577">
        <v>10577.231270176762</v>
      </c>
      <c r="V230" s="200"/>
      <c r="W230" s="577">
        <v>69425.720858925168</v>
      </c>
      <c r="X230" s="590">
        <v>1111266.1600000001</v>
      </c>
      <c r="Y230" s="577">
        <v>1180691.8808589254</v>
      </c>
      <c r="Z230" s="577">
        <v>-541022.29085892544</v>
      </c>
      <c r="AA230" s="375">
        <f t="shared" si="3"/>
        <v>0</v>
      </c>
    </row>
    <row r="231" spans="3:27" ht="15">
      <c r="C231" s="415">
        <v>225</v>
      </c>
      <c r="D231" s="415">
        <v>83</v>
      </c>
      <c r="E231" s="66" t="s">
        <v>311</v>
      </c>
      <c r="F231" t="s">
        <v>893</v>
      </c>
      <c r="G231" s="364">
        <v>-122846.24028800003</v>
      </c>
      <c r="H231" t="s">
        <v>2580</v>
      </c>
      <c r="K231" s="415">
        <v>225</v>
      </c>
      <c r="L231" s="415">
        <v>83</v>
      </c>
      <c r="M231" s="415"/>
      <c r="N231" s="66" t="s">
        <v>311</v>
      </c>
      <c r="O231" t="s">
        <v>2601</v>
      </c>
      <c r="P231" s="577">
        <v>269439.07</v>
      </c>
      <c r="Q231" s="577">
        <v>128287.13</v>
      </c>
      <c r="R231" s="577">
        <v>141682.41</v>
      </c>
      <c r="S231" s="577">
        <v>14150.15</v>
      </c>
      <c r="T231" s="577">
        <v>14619.43</v>
      </c>
      <c r="U231" s="577">
        <v>57546.73</v>
      </c>
      <c r="V231" s="200"/>
      <c r="W231" s="577">
        <v>35999.460287999995</v>
      </c>
      <c r="X231" s="590">
        <v>356285.85000000003</v>
      </c>
      <c r="Y231" s="577">
        <v>392285.31028800004</v>
      </c>
      <c r="Z231" s="577">
        <v>-122846.24028800003</v>
      </c>
      <c r="AA231" s="375">
        <f t="shared" si="3"/>
        <v>0</v>
      </c>
    </row>
    <row r="232" spans="3:27" ht="15">
      <c r="C232" s="415">
        <v>226</v>
      </c>
      <c r="D232" s="415">
        <v>67</v>
      </c>
      <c r="E232" s="66" t="s">
        <v>279</v>
      </c>
      <c r="F232" t="s">
        <v>879</v>
      </c>
      <c r="G232" s="364">
        <v>-208846.79195299977</v>
      </c>
      <c r="H232" t="s">
        <v>2580</v>
      </c>
      <c r="K232" s="415">
        <v>226</v>
      </c>
      <c r="L232" s="415">
        <v>67</v>
      </c>
      <c r="M232" s="415"/>
      <c r="N232" s="66" t="s">
        <v>279</v>
      </c>
      <c r="O232" t="s">
        <v>1719</v>
      </c>
      <c r="P232" s="577">
        <v>2421772.56</v>
      </c>
      <c r="Q232" s="577">
        <v>888078.72</v>
      </c>
      <c r="R232" s="577">
        <v>1434990.81</v>
      </c>
      <c r="S232" s="577">
        <v>17402.05</v>
      </c>
      <c r="T232" s="577">
        <v>26467.049999999883</v>
      </c>
      <c r="U232" s="577">
        <v>0</v>
      </c>
      <c r="V232" s="200"/>
      <c r="W232" s="577">
        <v>263680.72195299994</v>
      </c>
      <c r="X232" s="590">
        <v>2366938.63</v>
      </c>
      <c r="Y232" s="577">
        <v>2630619.3519529998</v>
      </c>
      <c r="Z232" s="577">
        <v>-208846.79195299977</v>
      </c>
      <c r="AA232" s="375">
        <f t="shared" si="3"/>
        <v>0</v>
      </c>
    </row>
    <row r="233" spans="3:27" ht="15">
      <c r="C233" s="415">
        <v>227</v>
      </c>
      <c r="D233" s="415">
        <v>278</v>
      </c>
      <c r="E233" s="66" t="s">
        <v>648</v>
      </c>
      <c r="F233" t="s">
        <v>1041</v>
      </c>
      <c r="G233" s="364">
        <v>-186818.48430000001</v>
      </c>
      <c r="H233" t="s">
        <v>2580</v>
      </c>
      <c r="K233" s="415">
        <v>227</v>
      </c>
      <c r="L233" s="415">
        <v>278</v>
      </c>
      <c r="M233" s="415"/>
      <c r="N233" s="66" t="s">
        <v>648</v>
      </c>
      <c r="O233" t="s">
        <v>1908</v>
      </c>
      <c r="P233" s="577"/>
      <c r="Q233" s="577"/>
      <c r="R233" s="577"/>
      <c r="S233" s="577"/>
      <c r="T233" s="577"/>
      <c r="U233" s="577"/>
      <c r="V233" s="200"/>
      <c r="W233" s="577"/>
      <c r="X233" s="590"/>
      <c r="Y233" s="577"/>
      <c r="Z233" s="577">
        <v>-186818.48430000001</v>
      </c>
      <c r="AA233" s="375">
        <f t="shared" si="3"/>
        <v>0</v>
      </c>
    </row>
    <row r="234" spans="3:27" ht="15">
      <c r="C234" s="415">
        <v>228</v>
      </c>
      <c r="D234" s="415">
        <v>120</v>
      </c>
      <c r="E234" s="66" t="s">
        <v>1388</v>
      </c>
      <c r="F234" t="s">
        <v>1387</v>
      </c>
      <c r="G234" s="364">
        <v>-132902.68</v>
      </c>
      <c r="H234" t="s">
        <v>2580</v>
      </c>
      <c r="K234" s="415">
        <v>228</v>
      </c>
      <c r="L234" s="415">
        <v>120</v>
      </c>
      <c r="M234" s="415"/>
      <c r="N234" s="66" t="s">
        <v>1388</v>
      </c>
      <c r="O234" t="s">
        <v>2602</v>
      </c>
      <c r="P234" s="577">
        <v>191650.32</v>
      </c>
      <c r="Q234" s="577">
        <v>169798.48</v>
      </c>
      <c r="R234" s="577">
        <v>153966.52000000002</v>
      </c>
      <c r="S234" s="577">
        <v>788</v>
      </c>
      <c r="T234" s="577">
        <v>0</v>
      </c>
      <c r="U234" s="577">
        <v>0</v>
      </c>
      <c r="V234" s="497"/>
      <c r="W234" s="577">
        <v>0</v>
      </c>
      <c r="X234" s="590">
        <v>324553</v>
      </c>
      <c r="Y234" s="577">
        <v>324553</v>
      </c>
      <c r="Z234" s="577">
        <v>-132902.68</v>
      </c>
      <c r="AA234" s="375">
        <f t="shared" si="3"/>
        <v>0</v>
      </c>
    </row>
    <row r="235" spans="3:27" ht="15">
      <c r="C235" s="415">
        <v>229</v>
      </c>
      <c r="D235" s="415">
        <v>121</v>
      </c>
      <c r="E235" s="66" t="s">
        <v>1477</v>
      </c>
      <c r="F235" s="344" t="s">
        <v>1588</v>
      </c>
      <c r="G235" s="364">
        <v>-136094.56435</v>
      </c>
      <c r="H235" t="s">
        <v>2580</v>
      </c>
      <c r="K235" s="415">
        <v>229</v>
      </c>
      <c r="L235" s="415">
        <v>121</v>
      </c>
      <c r="M235" s="415"/>
      <c r="N235" s="66" t="s">
        <v>1477</v>
      </c>
      <c r="O235" t="s">
        <v>2603</v>
      </c>
      <c r="P235" s="577">
        <v>60272.2</v>
      </c>
      <c r="Q235" s="577">
        <v>731.15</v>
      </c>
      <c r="R235" s="577">
        <v>30496.57</v>
      </c>
      <c r="S235" s="577">
        <v>3336.9</v>
      </c>
      <c r="T235" s="577">
        <v>92996.75</v>
      </c>
      <c r="U235" s="577">
        <v>0</v>
      </c>
      <c r="V235" s="200"/>
      <c r="W235" s="577">
        <v>68805.394350000002</v>
      </c>
      <c r="X235" s="590">
        <v>127561.37</v>
      </c>
      <c r="Y235" s="577">
        <v>196366.76435000001</v>
      </c>
      <c r="Z235" s="577">
        <v>-136094.56435</v>
      </c>
      <c r="AA235" s="375">
        <f t="shared" si="3"/>
        <v>0</v>
      </c>
    </row>
    <row r="236" spans="3:27" ht="15">
      <c r="C236" s="415">
        <v>230</v>
      </c>
      <c r="D236" s="415">
        <v>188</v>
      </c>
      <c r="E236" s="66" t="s">
        <v>490</v>
      </c>
      <c r="F236" t="s">
        <v>974</v>
      </c>
      <c r="G236" s="364">
        <v>-27951.13240000006</v>
      </c>
      <c r="H236" t="s">
        <v>2580</v>
      </c>
      <c r="K236" s="415">
        <v>230</v>
      </c>
      <c r="L236" s="415">
        <v>188</v>
      </c>
      <c r="M236" s="415"/>
      <c r="N236" s="66" t="s">
        <v>490</v>
      </c>
      <c r="O236" t="s">
        <v>1827</v>
      </c>
      <c r="P236" s="577">
        <v>453905.66</v>
      </c>
      <c r="Q236" s="577">
        <v>221767.89</v>
      </c>
      <c r="R236" s="577">
        <v>220384.28000000003</v>
      </c>
      <c r="S236" s="577">
        <v>2027</v>
      </c>
      <c r="T236" s="577">
        <v>2579.12</v>
      </c>
      <c r="U236" s="577">
        <v>0</v>
      </c>
      <c r="V236" s="200"/>
      <c r="W236" s="577">
        <v>35098.502400000005</v>
      </c>
      <c r="X236" s="590">
        <v>446758.29000000004</v>
      </c>
      <c r="Y236" s="577">
        <v>481856.79240000003</v>
      </c>
      <c r="Z236" s="577">
        <v>-27951.13240000006</v>
      </c>
      <c r="AA236" s="375">
        <f t="shared" si="3"/>
        <v>0</v>
      </c>
    </row>
    <row r="237" spans="3:27" ht="15">
      <c r="C237" s="415">
        <v>231</v>
      </c>
      <c r="D237" s="415">
        <v>164</v>
      </c>
      <c r="E237" s="66" t="s">
        <v>444</v>
      </c>
      <c r="F237" t="s">
        <v>1616</v>
      </c>
      <c r="G237" s="364">
        <v>-111916.67752000003</v>
      </c>
      <c r="H237" t="s">
        <v>2580</v>
      </c>
      <c r="K237" s="415">
        <v>231</v>
      </c>
      <c r="L237" s="415">
        <v>164</v>
      </c>
      <c r="M237" s="415"/>
      <c r="N237" s="66" t="s">
        <v>444</v>
      </c>
      <c r="O237" t="s">
        <v>1805</v>
      </c>
      <c r="P237" s="577">
        <v>338863.45</v>
      </c>
      <c r="Q237" s="577">
        <v>133568.99</v>
      </c>
      <c r="R237" s="577">
        <v>207916.27000000002</v>
      </c>
      <c r="S237" s="577">
        <v>32665.759999999998</v>
      </c>
      <c r="T237" s="577">
        <v>9979.69</v>
      </c>
      <c r="U237" s="577">
        <v>0</v>
      </c>
      <c r="V237" s="200"/>
      <c r="W237" s="577">
        <v>66649.417520000017</v>
      </c>
      <c r="X237" s="590">
        <v>384130.71</v>
      </c>
      <c r="Y237" s="577">
        <v>450780.12752000004</v>
      </c>
      <c r="Z237" s="577">
        <v>-111916.67752000003</v>
      </c>
      <c r="AA237" s="375">
        <f t="shared" si="3"/>
        <v>0</v>
      </c>
    </row>
    <row r="238" spans="3:27" ht="15">
      <c r="C238" s="415">
        <v>232</v>
      </c>
      <c r="D238" s="415">
        <v>103</v>
      </c>
      <c r="E238" s="66" t="s">
        <v>350</v>
      </c>
      <c r="F238" t="s">
        <v>912</v>
      </c>
      <c r="G238" s="364">
        <v>-828330.82828000002</v>
      </c>
      <c r="H238" t="s">
        <v>2580</v>
      </c>
      <c r="K238" s="415">
        <v>232</v>
      </c>
      <c r="L238" s="415">
        <v>103</v>
      </c>
      <c r="M238" s="415"/>
      <c r="N238" s="66" t="s">
        <v>350</v>
      </c>
      <c r="O238" t="s">
        <v>1755</v>
      </c>
      <c r="P238" s="577">
        <v>8296916.8499999996</v>
      </c>
      <c r="Q238" s="577">
        <v>3535515.07</v>
      </c>
      <c r="R238" s="577">
        <v>4638461.5199999996</v>
      </c>
      <c r="S238" s="577">
        <v>239636.77</v>
      </c>
      <c r="T238" s="577">
        <v>109172.06</v>
      </c>
      <c r="U238" s="577">
        <v>0</v>
      </c>
      <c r="V238" s="200"/>
      <c r="W238" s="577">
        <v>602462.25827999983</v>
      </c>
      <c r="X238" s="590">
        <v>8522785.4199999999</v>
      </c>
      <c r="Y238" s="577">
        <v>9125247.6782799996</v>
      </c>
      <c r="Z238" s="577">
        <v>-828330.82828000002</v>
      </c>
      <c r="AA238" s="375">
        <f t="shared" si="3"/>
        <v>0</v>
      </c>
    </row>
    <row r="239" spans="3:27" ht="15">
      <c r="C239" s="415">
        <v>233</v>
      </c>
      <c r="D239" s="415">
        <v>59</v>
      </c>
      <c r="E239" s="66" t="s">
        <v>265</v>
      </c>
      <c r="F239" t="s">
        <v>873</v>
      </c>
      <c r="G239" s="364">
        <v>-147322.59075999999</v>
      </c>
      <c r="H239" t="s">
        <v>2580</v>
      </c>
      <c r="K239" s="415">
        <v>233</v>
      </c>
      <c r="L239" s="415">
        <v>59</v>
      </c>
      <c r="M239" s="415"/>
      <c r="N239" s="66" t="s">
        <v>265</v>
      </c>
      <c r="O239" t="s">
        <v>1712</v>
      </c>
      <c r="P239" s="577">
        <v>329024.42</v>
      </c>
      <c r="Q239" s="577">
        <v>184437.93</v>
      </c>
      <c r="R239" s="577">
        <v>225460.06</v>
      </c>
      <c r="S239" s="577">
        <v>12531.86</v>
      </c>
      <c r="T239" s="577">
        <v>2658.6</v>
      </c>
      <c r="U239" s="577">
        <v>0</v>
      </c>
      <c r="V239" s="200"/>
      <c r="W239" s="577">
        <v>51258.560759999993</v>
      </c>
      <c r="X239" s="590">
        <v>425088.44999999995</v>
      </c>
      <c r="Y239" s="577">
        <v>476347.01075999998</v>
      </c>
      <c r="Z239" s="577">
        <v>-147322.59075999999</v>
      </c>
      <c r="AA239" s="375">
        <f t="shared" si="3"/>
        <v>0</v>
      </c>
    </row>
    <row r="240" spans="3:27" ht="15">
      <c r="C240" s="415">
        <v>234</v>
      </c>
      <c r="D240" s="415">
        <v>13</v>
      </c>
      <c r="E240" s="66" t="s">
        <v>187</v>
      </c>
      <c r="F240" t="s">
        <v>837</v>
      </c>
      <c r="G240" s="364">
        <v>136398.20296700858</v>
      </c>
      <c r="H240" t="s">
        <v>2580</v>
      </c>
      <c r="K240" s="415">
        <v>234</v>
      </c>
      <c r="L240" s="415">
        <v>13</v>
      </c>
      <c r="M240" s="415"/>
      <c r="N240" s="66" t="s">
        <v>187</v>
      </c>
      <c r="O240" t="s">
        <v>1671</v>
      </c>
      <c r="P240" s="577">
        <v>7531679.25</v>
      </c>
      <c r="Q240" s="577">
        <v>3478668.3893489125</v>
      </c>
      <c r="R240" s="577">
        <v>3341193.470725962</v>
      </c>
      <c r="S240" s="577">
        <v>21861.247444461333</v>
      </c>
      <c r="T240" s="577">
        <v>28491.210149778704</v>
      </c>
      <c r="U240" s="577">
        <v>6160.2023308859543</v>
      </c>
      <c r="V240" s="200"/>
      <c r="W240" s="577">
        <v>518906.52703299082</v>
      </c>
      <c r="X240" s="590">
        <v>6876374.5200000005</v>
      </c>
      <c r="Y240" s="577">
        <v>7395281.0470329914</v>
      </c>
      <c r="Z240" s="577">
        <v>136398.20296700858</v>
      </c>
      <c r="AA240" s="375">
        <f t="shared" si="3"/>
        <v>0</v>
      </c>
    </row>
    <row r="241" spans="3:27" ht="15">
      <c r="C241" s="415">
        <v>235</v>
      </c>
      <c r="D241" s="415">
        <v>37</v>
      </c>
      <c r="E241" s="66" t="s">
        <v>227</v>
      </c>
      <c r="F241" t="s">
        <v>855</v>
      </c>
      <c r="G241" s="364">
        <v>-36703.063910000026</v>
      </c>
      <c r="H241" t="s">
        <v>2580</v>
      </c>
      <c r="K241" s="415">
        <v>235</v>
      </c>
      <c r="L241" s="415">
        <v>37</v>
      </c>
      <c r="M241" s="415"/>
      <c r="N241" s="66" t="s">
        <v>227</v>
      </c>
      <c r="O241" t="s">
        <v>1693</v>
      </c>
      <c r="P241" s="577">
        <v>1493170.82</v>
      </c>
      <c r="Q241" s="577">
        <v>710509.27</v>
      </c>
      <c r="R241" s="577">
        <v>640771.22999999986</v>
      </c>
      <c r="S241" s="577">
        <v>47163.17</v>
      </c>
      <c r="T241" s="577">
        <v>39613.650000000067</v>
      </c>
      <c r="U241" s="577">
        <v>0</v>
      </c>
      <c r="V241" s="200"/>
      <c r="W241" s="577">
        <v>91816.563909999997</v>
      </c>
      <c r="X241" s="590">
        <v>1438057.32</v>
      </c>
      <c r="Y241" s="577">
        <v>1529873.8839100001</v>
      </c>
      <c r="Z241" s="577">
        <v>-36703.063910000026</v>
      </c>
      <c r="AA241" s="375">
        <f t="shared" si="3"/>
        <v>0</v>
      </c>
    </row>
    <row r="242" spans="3:27" ht="15">
      <c r="C242" s="415">
        <v>236</v>
      </c>
      <c r="D242" s="415">
        <v>5</v>
      </c>
      <c r="E242" s="66" t="s">
        <v>171</v>
      </c>
      <c r="F242" t="s">
        <v>831</v>
      </c>
      <c r="G242" s="364">
        <v>-20417.48036300001</v>
      </c>
      <c r="H242" t="s">
        <v>2580</v>
      </c>
      <c r="K242" s="415">
        <v>236</v>
      </c>
      <c r="L242" s="415">
        <v>5</v>
      </c>
      <c r="M242" s="415"/>
      <c r="N242" s="66" t="s">
        <v>171</v>
      </c>
      <c r="O242" t="s">
        <v>1663</v>
      </c>
      <c r="P242" s="577">
        <v>190849.06</v>
      </c>
      <c r="Q242" s="577">
        <v>113074.59</v>
      </c>
      <c r="R242" s="577">
        <v>63343.5</v>
      </c>
      <c r="S242" s="577">
        <v>9998.81</v>
      </c>
      <c r="T242" s="577">
        <v>1198</v>
      </c>
      <c r="U242" s="577">
        <v>0</v>
      </c>
      <c r="V242" s="200"/>
      <c r="W242" s="577">
        <v>23651.640363000002</v>
      </c>
      <c r="X242" s="590">
        <v>187614.9</v>
      </c>
      <c r="Y242" s="577">
        <v>211266.54036300001</v>
      </c>
      <c r="Z242" s="577">
        <v>-20417.48036300001</v>
      </c>
      <c r="AA242" s="375">
        <f t="shared" si="3"/>
        <v>0</v>
      </c>
    </row>
    <row r="243" spans="3:27" ht="15">
      <c r="C243" s="415">
        <v>237</v>
      </c>
      <c r="D243" s="415">
        <v>257</v>
      </c>
      <c r="E243" s="66" t="s">
        <v>616</v>
      </c>
      <c r="F243" t="s">
        <v>1026</v>
      </c>
      <c r="G243" s="364">
        <v>-88903.15607999987</v>
      </c>
      <c r="H243" t="s">
        <v>2580</v>
      </c>
      <c r="K243" s="415">
        <v>237</v>
      </c>
      <c r="L243" s="415">
        <v>257</v>
      </c>
      <c r="M243" s="415"/>
      <c r="N243" s="66" t="s">
        <v>616</v>
      </c>
      <c r="O243" t="s">
        <v>1891</v>
      </c>
      <c r="P243" s="577">
        <v>1085866.74</v>
      </c>
      <c r="Q243" s="577">
        <v>343103.75</v>
      </c>
      <c r="R243" s="577">
        <v>548608.72</v>
      </c>
      <c r="S243" s="577">
        <v>639.78000000000009</v>
      </c>
      <c r="T243" s="577">
        <v>101207.70000000001</v>
      </c>
      <c r="U243" s="577">
        <v>32645.75</v>
      </c>
      <c r="V243" s="200"/>
      <c r="W243" s="577">
        <v>148564.19607999999</v>
      </c>
      <c r="X243" s="590">
        <v>1026205.7</v>
      </c>
      <c r="Y243" s="577">
        <v>1174769.8960799999</v>
      </c>
      <c r="Z243" s="577">
        <v>-88903.15607999987</v>
      </c>
      <c r="AA243" s="375">
        <f t="shared" si="3"/>
        <v>0</v>
      </c>
    </row>
    <row r="244" spans="3:27" ht="15">
      <c r="C244" s="415">
        <v>238</v>
      </c>
      <c r="D244" s="415">
        <v>107</v>
      </c>
      <c r="E244" s="66" t="s">
        <v>358</v>
      </c>
      <c r="F244" t="s">
        <v>916</v>
      </c>
      <c r="G244" s="364">
        <v>-440729.40136399982</v>
      </c>
      <c r="H244" t="s">
        <v>2580</v>
      </c>
      <c r="K244" s="415">
        <v>238</v>
      </c>
      <c r="L244" s="415">
        <v>107</v>
      </c>
      <c r="M244" s="415"/>
      <c r="N244" s="66" t="s">
        <v>358</v>
      </c>
      <c r="O244" t="s">
        <v>1759</v>
      </c>
      <c r="P244" s="577">
        <v>1360067.04</v>
      </c>
      <c r="Q244" s="577">
        <v>616904.95999999996</v>
      </c>
      <c r="R244" s="577">
        <v>882051.22</v>
      </c>
      <c r="S244" s="577">
        <v>50671.6</v>
      </c>
      <c r="T244" s="577">
        <v>31201.200000000001</v>
      </c>
      <c r="U244" s="577">
        <v>0</v>
      </c>
      <c r="V244" s="200"/>
      <c r="W244" s="577">
        <v>219967.46136399996</v>
      </c>
      <c r="X244" s="590">
        <v>1580828.98</v>
      </c>
      <c r="Y244" s="577">
        <v>1800796.4413639999</v>
      </c>
      <c r="Z244" s="577">
        <v>-440729.40136399982</v>
      </c>
      <c r="AA244" s="375">
        <f t="shared" si="3"/>
        <v>0</v>
      </c>
    </row>
    <row r="245" spans="3:27" ht="15">
      <c r="C245" s="415">
        <v>239</v>
      </c>
      <c r="D245" s="415">
        <v>280</v>
      </c>
      <c r="E245" s="66" t="s">
        <v>652</v>
      </c>
      <c r="F245" t="s">
        <v>1043</v>
      </c>
      <c r="G245" s="364">
        <v>2455.1896999999881</v>
      </c>
      <c r="H245" t="s">
        <v>2580</v>
      </c>
      <c r="K245" s="415">
        <v>239</v>
      </c>
      <c r="L245" s="415">
        <v>280</v>
      </c>
      <c r="M245" s="415"/>
      <c r="N245" s="66" t="s">
        <v>652</v>
      </c>
      <c r="O245" t="s">
        <v>1910</v>
      </c>
      <c r="P245" s="577">
        <v>1291689.48</v>
      </c>
      <c r="Q245" s="577">
        <v>549401.72</v>
      </c>
      <c r="R245" s="577">
        <v>500231</v>
      </c>
      <c r="S245" s="577">
        <v>146249.75</v>
      </c>
      <c r="T245" s="577">
        <v>0</v>
      </c>
      <c r="U245" s="577">
        <v>0</v>
      </c>
      <c r="V245" s="200"/>
      <c r="W245" s="577">
        <v>93351.820300000007</v>
      </c>
      <c r="X245" s="590">
        <v>1195882.47</v>
      </c>
      <c r="Y245" s="577">
        <v>1289234.2903</v>
      </c>
      <c r="Z245" s="577">
        <v>2455.1896999999881</v>
      </c>
      <c r="AA245" s="375">
        <f t="shared" si="3"/>
        <v>0</v>
      </c>
    </row>
    <row r="246" spans="3:27" ht="15">
      <c r="C246" s="415">
        <v>240</v>
      </c>
      <c r="D246" s="415">
        <v>146</v>
      </c>
      <c r="E246" s="414" t="s">
        <v>408</v>
      </c>
      <c r="F246" s="340" t="s">
        <v>409</v>
      </c>
      <c r="G246" s="364">
        <v>-1456.67</v>
      </c>
      <c r="H246" t="s">
        <v>2580</v>
      </c>
      <c r="K246" s="415">
        <v>240</v>
      </c>
      <c r="L246" s="415">
        <v>146</v>
      </c>
      <c r="M246" s="415"/>
      <c r="N246" s="414" t="s">
        <v>408</v>
      </c>
      <c r="O246" s="79" t="s">
        <v>2317</v>
      </c>
      <c r="P246" s="578">
        <v>0</v>
      </c>
      <c r="Q246" s="578">
        <v>1456.67</v>
      </c>
      <c r="R246" s="578"/>
      <c r="S246" s="578"/>
      <c r="T246" s="578"/>
      <c r="U246" s="578"/>
      <c r="V246" s="497"/>
      <c r="W246" s="578">
        <v>0</v>
      </c>
      <c r="X246" s="578">
        <v>1456.67</v>
      </c>
      <c r="Y246" s="578">
        <v>1456.67</v>
      </c>
      <c r="Z246" s="578">
        <v>-1456.67</v>
      </c>
      <c r="AA246" s="375">
        <f t="shared" si="3"/>
        <v>0</v>
      </c>
    </row>
    <row r="247" spans="3:27" ht="15">
      <c r="C247" s="415">
        <v>241</v>
      </c>
      <c r="D247" s="415">
        <v>40</v>
      </c>
      <c r="E247" s="66" t="s">
        <v>2307</v>
      </c>
      <c r="F247" s="426" t="s">
        <v>2391</v>
      </c>
      <c r="G247" s="364">
        <v>-7719.1594349999996</v>
      </c>
      <c r="H247" t="s">
        <v>2580</v>
      </c>
      <c r="K247" s="415">
        <v>241</v>
      </c>
      <c r="L247" s="415">
        <v>40</v>
      </c>
      <c r="M247" s="415"/>
      <c r="N247" s="66" t="s">
        <v>2307</v>
      </c>
      <c r="O247" t="s">
        <v>2391</v>
      </c>
      <c r="P247" s="577">
        <v>3607.51</v>
      </c>
      <c r="Q247" s="577">
        <v>26761.18</v>
      </c>
      <c r="R247" s="577">
        <v>0</v>
      </c>
      <c r="S247" s="577">
        <v>0</v>
      </c>
      <c r="T247" s="577">
        <v>-13380.59</v>
      </c>
      <c r="U247" s="577">
        <v>0</v>
      </c>
      <c r="V247" s="200"/>
      <c r="W247" s="577">
        <v>-2053.9205649999999</v>
      </c>
      <c r="X247" s="590">
        <v>13380.59</v>
      </c>
      <c r="Y247" s="577">
        <v>11326.669435</v>
      </c>
      <c r="Z247" s="577">
        <v>-7719.1594349999996</v>
      </c>
      <c r="AA247" s="375">
        <f t="shared" si="3"/>
        <v>0</v>
      </c>
    </row>
    <row r="248" spans="3:27" ht="15">
      <c r="C248" s="415">
        <v>242</v>
      </c>
      <c r="D248" s="415">
        <v>311</v>
      </c>
      <c r="E248" s="66" t="s">
        <v>705</v>
      </c>
      <c r="F248" t="s">
        <v>1066</v>
      </c>
      <c r="G248" s="364">
        <v>-37988.083199999994</v>
      </c>
      <c r="H248" t="s">
        <v>2580</v>
      </c>
      <c r="K248" s="415">
        <v>242</v>
      </c>
      <c r="L248" s="415">
        <v>311</v>
      </c>
      <c r="M248" s="415"/>
      <c r="N248" s="66" t="s">
        <v>705</v>
      </c>
      <c r="O248" t="s">
        <v>1939</v>
      </c>
      <c r="P248" s="577">
        <v>148586.39000000001</v>
      </c>
      <c r="Q248" s="577">
        <v>66165.86</v>
      </c>
      <c r="R248" s="577">
        <v>86559.010000000009</v>
      </c>
      <c r="S248" s="577">
        <v>5811.39</v>
      </c>
      <c r="T248" s="577">
        <v>216</v>
      </c>
      <c r="U248" s="577">
        <v>0</v>
      </c>
      <c r="V248" s="497"/>
      <c r="W248" s="577">
        <v>27822.213200000002</v>
      </c>
      <c r="X248" s="590">
        <v>158752.26</v>
      </c>
      <c r="Y248" s="577">
        <v>186574.47320000001</v>
      </c>
      <c r="Z248" s="577">
        <v>-37988.083199999994</v>
      </c>
      <c r="AA248" s="375">
        <f t="shared" si="3"/>
        <v>0</v>
      </c>
    </row>
    <row r="249" spans="3:27" ht="15">
      <c r="C249" s="415">
        <v>243</v>
      </c>
      <c r="D249" s="415">
        <v>71</v>
      </c>
      <c r="E249" s="66" t="s">
        <v>287</v>
      </c>
      <c r="F249" t="s">
        <v>882</v>
      </c>
      <c r="G249" s="364">
        <v>160874.72356700012</v>
      </c>
      <c r="H249" t="s">
        <v>2580</v>
      </c>
      <c r="K249" s="415">
        <v>243</v>
      </c>
      <c r="L249" s="415">
        <v>71</v>
      </c>
      <c r="M249" s="415"/>
      <c r="N249" s="66" t="s">
        <v>287</v>
      </c>
      <c r="O249" t="s">
        <v>1723</v>
      </c>
      <c r="P249" s="577">
        <v>1344118.33</v>
      </c>
      <c r="Q249" s="577">
        <v>610642.06999999995</v>
      </c>
      <c r="R249" s="577">
        <v>477469.91</v>
      </c>
      <c r="S249" s="577">
        <v>1994.49</v>
      </c>
      <c r="T249" s="577">
        <v>1672.93</v>
      </c>
      <c r="U249" s="577">
        <v>0</v>
      </c>
      <c r="V249" s="497"/>
      <c r="W249" s="577">
        <v>91464.206432999985</v>
      </c>
      <c r="X249" s="590">
        <v>1091779.3999999999</v>
      </c>
      <c r="Y249" s="577">
        <v>1183243.6064329999</v>
      </c>
      <c r="Z249" s="577">
        <v>160874.72356700012</v>
      </c>
      <c r="AA249" s="375">
        <f t="shared" si="3"/>
        <v>0</v>
      </c>
    </row>
    <row r="250" spans="3:27" ht="15">
      <c r="C250" s="415">
        <v>244</v>
      </c>
      <c r="D250" s="415">
        <v>217</v>
      </c>
      <c r="E250" s="66" t="s">
        <v>541</v>
      </c>
      <c r="F250" t="s">
        <v>1619</v>
      </c>
      <c r="G250" s="364">
        <v>-201140.67797700007</v>
      </c>
      <c r="H250" t="s">
        <v>2580</v>
      </c>
      <c r="K250" s="415">
        <v>244</v>
      </c>
      <c r="L250" s="415">
        <v>217</v>
      </c>
      <c r="M250" s="415"/>
      <c r="N250" s="66" t="s">
        <v>541</v>
      </c>
      <c r="O250" t="s">
        <v>1852</v>
      </c>
      <c r="P250" s="577">
        <v>424471.55</v>
      </c>
      <c r="Q250" s="577">
        <v>218627.77</v>
      </c>
      <c r="R250" s="577">
        <v>319904.05</v>
      </c>
      <c r="S250" s="577">
        <v>3131.77</v>
      </c>
      <c r="T250" s="577">
        <v>5893.67</v>
      </c>
      <c r="U250" s="577">
        <v>0</v>
      </c>
      <c r="V250" s="200"/>
      <c r="W250" s="577">
        <v>78054.967977000008</v>
      </c>
      <c r="X250" s="590">
        <v>547557.26</v>
      </c>
      <c r="Y250" s="577">
        <v>625612.22797700006</v>
      </c>
      <c r="Z250" s="577">
        <v>-201140.67797700007</v>
      </c>
      <c r="AA250" s="375">
        <f t="shared" si="3"/>
        <v>0</v>
      </c>
    </row>
    <row r="251" spans="3:27" ht="15">
      <c r="C251" s="415">
        <v>245</v>
      </c>
      <c r="D251" s="415">
        <v>85</v>
      </c>
      <c r="E251" s="66" t="s">
        <v>314</v>
      </c>
      <c r="F251" t="s">
        <v>895</v>
      </c>
      <c r="G251" s="364">
        <v>-48238.745913999977</v>
      </c>
      <c r="H251" t="s">
        <v>2580</v>
      </c>
      <c r="K251" s="415">
        <v>245</v>
      </c>
      <c r="L251" s="415">
        <v>85</v>
      </c>
      <c r="M251" s="415"/>
      <c r="N251" s="66" t="s">
        <v>314</v>
      </c>
      <c r="O251" t="s">
        <v>1737</v>
      </c>
      <c r="P251" s="577">
        <v>38606.480000000003</v>
      </c>
      <c r="Q251" s="577">
        <v>0</v>
      </c>
      <c r="R251" s="577">
        <v>28096.559999999998</v>
      </c>
      <c r="S251" s="577">
        <v>0</v>
      </c>
      <c r="T251" s="577">
        <v>38268.43</v>
      </c>
      <c r="U251" s="577">
        <v>0</v>
      </c>
      <c r="V251" s="200"/>
      <c r="W251" s="577">
        <v>20480.235913999997</v>
      </c>
      <c r="X251" s="590">
        <v>66364.989999999991</v>
      </c>
      <c r="Y251" s="577">
        <v>86845.225913999981</v>
      </c>
      <c r="Z251" s="577">
        <v>-48238.745913999977</v>
      </c>
      <c r="AA251" s="375">
        <f t="shared" si="3"/>
        <v>0</v>
      </c>
    </row>
    <row r="252" spans="3:27" ht="15">
      <c r="C252" s="415">
        <v>246</v>
      </c>
      <c r="D252" s="415">
        <v>97</v>
      </c>
      <c r="E252" s="66" t="s">
        <v>338</v>
      </c>
      <c r="F252" t="s">
        <v>906</v>
      </c>
      <c r="G252" s="364">
        <v>-5267957.0581186377</v>
      </c>
      <c r="H252" t="s">
        <v>2580</v>
      </c>
      <c r="K252" s="415">
        <v>246</v>
      </c>
      <c r="L252" s="415">
        <v>97</v>
      </c>
      <c r="M252" s="415"/>
      <c r="N252" s="66" t="s">
        <v>338</v>
      </c>
      <c r="O252" t="s">
        <v>2604</v>
      </c>
      <c r="P252" s="577">
        <v>17046855.789999999</v>
      </c>
      <c r="Q252" s="577">
        <v>7680249.8166145589</v>
      </c>
      <c r="R252" s="577">
        <v>11322198.606766729</v>
      </c>
      <c r="S252" s="577">
        <v>842736.77471176966</v>
      </c>
      <c r="T252" s="577">
        <v>670148.84190694278</v>
      </c>
      <c r="U252" s="577">
        <v>0</v>
      </c>
      <c r="V252" s="200"/>
      <c r="W252" s="577">
        <v>1799478.8081186386</v>
      </c>
      <c r="X252" s="590">
        <v>20515334.039999999</v>
      </c>
      <c r="Y252" s="577">
        <v>22314812.848118637</v>
      </c>
      <c r="Z252" s="577">
        <v>-5267957.0581186377</v>
      </c>
      <c r="AA252" s="375">
        <f t="shared" si="3"/>
        <v>0</v>
      </c>
    </row>
    <row r="253" spans="3:27" ht="15">
      <c r="C253" s="415">
        <v>247</v>
      </c>
      <c r="D253" s="415">
        <v>220</v>
      </c>
      <c r="E253" s="66" t="s">
        <v>546</v>
      </c>
      <c r="F253" t="s">
        <v>998</v>
      </c>
      <c r="G253" s="364">
        <v>-110895.4122154261</v>
      </c>
      <c r="H253" t="s">
        <v>2580</v>
      </c>
      <c r="K253" s="415">
        <v>247</v>
      </c>
      <c r="L253" s="415">
        <v>220</v>
      </c>
      <c r="M253" s="415"/>
      <c r="N253" s="66" t="s">
        <v>546</v>
      </c>
      <c r="O253" t="s">
        <v>1855</v>
      </c>
      <c r="P253" s="577">
        <v>3531055.22</v>
      </c>
      <c r="Q253" s="577">
        <v>1380890.8672201205</v>
      </c>
      <c r="R253" s="577">
        <v>1837884.8991021484</v>
      </c>
      <c r="S253" s="577">
        <v>99551.803342906394</v>
      </c>
      <c r="T253" s="577">
        <v>62408.34302372799</v>
      </c>
      <c r="U253" s="577">
        <v>9834.1973110967629</v>
      </c>
      <c r="V253" s="498"/>
      <c r="W253" s="577">
        <v>251380.52221542597</v>
      </c>
      <c r="X253" s="590">
        <v>3390570.1100000003</v>
      </c>
      <c r="Y253" s="577">
        <v>3641950.6322154263</v>
      </c>
      <c r="Z253" s="577">
        <v>-110895.4122154261</v>
      </c>
      <c r="AA253" s="375">
        <f t="shared" si="3"/>
        <v>0</v>
      </c>
    </row>
    <row r="254" spans="3:27" ht="15">
      <c r="C254" s="415">
        <v>248</v>
      </c>
      <c r="D254" s="415">
        <v>318</v>
      </c>
      <c r="E254" s="66" t="s">
        <v>718</v>
      </c>
      <c r="F254" t="s">
        <v>1071</v>
      </c>
      <c r="G254" s="364">
        <v>-292463.86206399975</v>
      </c>
      <c r="H254" t="s">
        <v>2580</v>
      </c>
      <c r="K254" s="415">
        <v>248</v>
      </c>
      <c r="L254" s="415">
        <v>318</v>
      </c>
      <c r="M254" s="415"/>
      <c r="N254" s="66" t="s">
        <v>718</v>
      </c>
      <c r="O254" t="s">
        <v>1946</v>
      </c>
      <c r="P254" s="577">
        <v>3129336.08</v>
      </c>
      <c r="Q254" s="577">
        <v>1283377.8799999999</v>
      </c>
      <c r="R254" s="577">
        <v>1440993.81</v>
      </c>
      <c r="S254" s="577">
        <v>38790.47</v>
      </c>
      <c r="T254" s="577">
        <v>29675.510000000002</v>
      </c>
      <c r="U254" s="577">
        <v>385033.57</v>
      </c>
      <c r="V254" s="497"/>
      <c r="W254" s="577">
        <v>243928.70206399998</v>
      </c>
      <c r="X254" s="590">
        <v>3177871.2399999998</v>
      </c>
      <c r="Y254" s="577">
        <v>3421799.9420639998</v>
      </c>
      <c r="Z254" s="577">
        <v>-292463.86206399975</v>
      </c>
      <c r="AA254" s="375">
        <f t="shared" si="3"/>
        <v>0</v>
      </c>
    </row>
    <row r="255" spans="3:27" ht="15">
      <c r="C255" s="415">
        <v>249</v>
      </c>
      <c r="D255" s="415">
        <v>195</v>
      </c>
      <c r="E255" s="66" t="s">
        <v>503</v>
      </c>
      <c r="F255" t="s">
        <v>981</v>
      </c>
      <c r="G255" s="364">
        <v>-167228.28597500004</v>
      </c>
      <c r="H255" t="s">
        <v>2580</v>
      </c>
      <c r="K255" s="415">
        <v>249</v>
      </c>
      <c r="L255" s="415">
        <v>195</v>
      </c>
      <c r="M255" s="415"/>
      <c r="N255" s="66" t="s">
        <v>503</v>
      </c>
      <c r="O255" t="s">
        <v>1834</v>
      </c>
      <c r="P255" s="577">
        <v>228362.77</v>
      </c>
      <c r="Q255" s="577">
        <v>116669.1</v>
      </c>
      <c r="R255" s="577">
        <v>189512.32000000001</v>
      </c>
      <c r="S255" s="577">
        <v>22224.77</v>
      </c>
      <c r="T255" s="577">
        <v>8319.68</v>
      </c>
      <c r="U255" s="577">
        <v>0</v>
      </c>
      <c r="V255" s="200"/>
      <c r="W255" s="577">
        <v>58865.185975</v>
      </c>
      <c r="X255" s="590">
        <v>336725.87000000005</v>
      </c>
      <c r="Y255" s="577">
        <v>395591.05597500002</v>
      </c>
      <c r="Z255" s="577">
        <v>-167228.28597500004</v>
      </c>
      <c r="AA255" s="375">
        <f t="shared" si="3"/>
        <v>0</v>
      </c>
    </row>
    <row r="256" spans="3:27" ht="15">
      <c r="C256" s="415">
        <v>250</v>
      </c>
      <c r="D256" s="415">
        <v>25</v>
      </c>
      <c r="E256" s="66" t="s">
        <v>207</v>
      </c>
      <c r="F256" t="s">
        <v>846</v>
      </c>
      <c r="G256" s="364">
        <v>-172307.26858899998</v>
      </c>
      <c r="H256" t="s">
        <v>2580</v>
      </c>
      <c r="K256" s="415">
        <v>250</v>
      </c>
      <c r="L256" s="415">
        <v>25</v>
      </c>
      <c r="M256" s="415"/>
      <c r="N256" s="66" t="s">
        <v>207</v>
      </c>
      <c r="O256" t="s">
        <v>1681</v>
      </c>
      <c r="P256" s="577">
        <v>1122874.26</v>
      </c>
      <c r="Q256" s="577">
        <v>480822.26</v>
      </c>
      <c r="R256" s="577">
        <v>628453.04999999993</v>
      </c>
      <c r="S256" s="577">
        <v>11116.38</v>
      </c>
      <c r="T256" s="577">
        <v>0</v>
      </c>
      <c r="U256" s="577">
        <v>26217.86</v>
      </c>
      <c r="V256" s="497"/>
      <c r="W256" s="577">
        <v>148571.97858899998</v>
      </c>
      <c r="X256" s="590">
        <v>1146609.55</v>
      </c>
      <c r="Y256" s="577">
        <v>1295181.528589</v>
      </c>
      <c r="Z256" s="577">
        <v>-172307.26858899998</v>
      </c>
      <c r="AA256" s="375">
        <f t="shared" si="3"/>
        <v>0</v>
      </c>
    </row>
    <row r="257" spans="3:27" ht="15">
      <c r="C257" s="415">
        <v>251</v>
      </c>
      <c r="D257" s="415">
        <v>214</v>
      </c>
      <c r="E257" s="339" t="s">
        <v>535</v>
      </c>
      <c r="F257" s="340" t="s">
        <v>536</v>
      </c>
      <c r="G257" s="364"/>
      <c r="H257" t="s">
        <v>2580</v>
      </c>
      <c r="K257" s="415">
        <v>251</v>
      </c>
      <c r="L257" s="415">
        <v>214</v>
      </c>
      <c r="M257" s="415"/>
      <c r="N257" s="66"/>
      <c r="P257" s="577"/>
      <c r="Q257" s="577"/>
      <c r="R257" s="577"/>
      <c r="S257" s="577"/>
      <c r="T257" s="577"/>
      <c r="U257" s="577"/>
      <c r="V257" s="497"/>
      <c r="W257" s="577"/>
      <c r="X257" s="590"/>
      <c r="Y257" s="577"/>
      <c r="Z257" s="577"/>
      <c r="AA257" s="375">
        <f t="shared" si="3"/>
        <v>0</v>
      </c>
    </row>
    <row r="258" spans="3:27" ht="15">
      <c r="C258" s="415">
        <v>252</v>
      </c>
      <c r="D258" s="415">
        <v>173</v>
      </c>
      <c r="E258" s="66" t="s">
        <v>462</v>
      </c>
      <c r="F258" t="s">
        <v>960</v>
      </c>
      <c r="G258" s="364">
        <v>104571.7663371996</v>
      </c>
      <c r="H258" t="s">
        <v>2580</v>
      </c>
      <c r="K258" s="415">
        <v>252</v>
      </c>
      <c r="L258" s="415">
        <v>173</v>
      </c>
      <c r="M258" s="415"/>
      <c r="N258" s="66" t="s">
        <v>462</v>
      </c>
      <c r="O258" t="s">
        <v>1814</v>
      </c>
      <c r="P258" s="577">
        <v>3278121.5</v>
      </c>
      <c r="Q258" s="577">
        <v>1280898.5712936854</v>
      </c>
      <c r="R258" s="577">
        <v>1324402.8503941142</v>
      </c>
      <c r="S258" s="577">
        <v>239180.54357589519</v>
      </c>
      <c r="T258" s="577">
        <v>34666.796000648217</v>
      </c>
      <c r="U258" s="577">
        <v>11191.038735656961</v>
      </c>
      <c r="V258" s="200"/>
      <c r="W258" s="577">
        <v>283209.93366280053</v>
      </c>
      <c r="X258" s="590">
        <v>2890339.8</v>
      </c>
      <c r="Y258" s="577">
        <v>3173549.7336628004</v>
      </c>
      <c r="Z258" s="577">
        <v>104571.7663371996</v>
      </c>
      <c r="AA258" s="375">
        <f t="shared" si="3"/>
        <v>0</v>
      </c>
    </row>
    <row r="259" spans="3:27" ht="15">
      <c r="C259" s="415">
        <v>253</v>
      </c>
      <c r="D259" s="415">
        <v>112</v>
      </c>
      <c r="E259" s="66" t="s">
        <v>366</v>
      </c>
      <c r="F259" t="s">
        <v>921</v>
      </c>
      <c r="G259" s="364">
        <v>-285701.54277724493</v>
      </c>
      <c r="H259" t="s">
        <v>2580</v>
      </c>
      <c r="K259" s="415">
        <v>253</v>
      </c>
      <c r="L259" s="415">
        <v>112</v>
      </c>
      <c r="M259" s="415"/>
      <c r="N259" s="66" t="s">
        <v>366</v>
      </c>
      <c r="O259" t="s">
        <v>1764</v>
      </c>
      <c r="P259" s="577">
        <v>4246250.8499999996</v>
      </c>
      <c r="Q259" s="577">
        <v>1380908.6213795475</v>
      </c>
      <c r="R259" s="577">
        <v>2665673.0681124353</v>
      </c>
      <c r="S259" s="577">
        <v>104832.45383728956</v>
      </c>
      <c r="T259" s="577">
        <v>17288.66667072742</v>
      </c>
      <c r="U259" s="577">
        <v>0</v>
      </c>
      <c r="V259" s="497"/>
      <c r="W259" s="577">
        <v>363249.58277724491</v>
      </c>
      <c r="X259" s="590">
        <v>4168702.8099999996</v>
      </c>
      <c r="Y259" s="577">
        <v>4531952.3927772446</v>
      </c>
      <c r="Z259" s="577">
        <v>-285701.54277724493</v>
      </c>
      <c r="AA259" s="375">
        <f t="shared" si="3"/>
        <v>0</v>
      </c>
    </row>
    <row r="260" spans="3:27" ht="15">
      <c r="C260" s="415">
        <v>254</v>
      </c>
      <c r="D260" s="415">
        <v>226</v>
      </c>
      <c r="E260" s="66" t="s">
        <v>556</v>
      </c>
      <c r="F260" t="s">
        <v>1002</v>
      </c>
      <c r="G260" s="364">
        <v>-76142.451492000022</v>
      </c>
      <c r="H260" t="s">
        <v>2580</v>
      </c>
      <c r="K260" s="415">
        <v>254</v>
      </c>
      <c r="L260" s="415">
        <v>226</v>
      </c>
      <c r="M260" s="415"/>
      <c r="N260" s="66" t="s">
        <v>556</v>
      </c>
      <c r="O260" t="s">
        <v>1860</v>
      </c>
      <c r="P260" s="577">
        <v>63296.25</v>
      </c>
      <c r="Q260" s="577">
        <v>30437.19</v>
      </c>
      <c r="R260" s="577">
        <v>85154.11</v>
      </c>
      <c r="S260" s="577">
        <v>0</v>
      </c>
      <c r="T260" s="577">
        <v>4470.55</v>
      </c>
      <c r="U260" s="577">
        <v>0</v>
      </c>
      <c r="V260" s="200"/>
      <c r="W260" s="577">
        <v>19376.851492000002</v>
      </c>
      <c r="X260" s="590">
        <v>120061.85</v>
      </c>
      <c r="Y260" s="577">
        <v>139438.70149200002</v>
      </c>
      <c r="Z260" s="577">
        <v>-76142.451492000022</v>
      </c>
      <c r="AA260" s="375">
        <f t="shared" si="3"/>
        <v>0</v>
      </c>
    </row>
    <row r="261" spans="3:27" ht="15">
      <c r="C261" s="415">
        <v>255</v>
      </c>
      <c r="D261" s="415">
        <v>104</v>
      </c>
      <c r="E261" s="66" t="s">
        <v>352</v>
      </c>
      <c r="F261" t="s">
        <v>913</v>
      </c>
      <c r="G261" s="364">
        <v>-87011.011113999994</v>
      </c>
      <c r="H261" t="s">
        <v>2580</v>
      </c>
      <c r="K261" s="415">
        <v>255</v>
      </c>
      <c r="L261" s="415">
        <v>104</v>
      </c>
      <c r="M261" s="415"/>
      <c r="N261" s="66" t="s">
        <v>352</v>
      </c>
      <c r="O261" t="s">
        <v>1756</v>
      </c>
      <c r="P261" s="577">
        <v>40161.480000000003</v>
      </c>
      <c r="Q261" s="577">
        <v>38874.089999999997</v>
      </c>
      <c r="R261" s="577">
        <v>70691.350000000006</v>
      </c>
      <c r="S261" s="577">
        <v>0</v>
      </c>
      <c r="T261" s="577">
        <v>534.27</v>
      </c>
      <c r="U261" s="577">
        <v>0</v>
      </c>
      <c r="V261" s="200"/>
      <c r="W261" s="577">
        <v>17072.781114000001</v>
      </c>
      <c r="X261" s="590">
        <v>110099.71</v>
      </c>
      <c r="Y261" s="577">
        <v>127172.491114</v>
      </c>
      <c r="Z261" s="577">
        <v>-87011.011113999994</v>
      </c>
      <c r="AA261" s="375">
        <f t="shared" si="3"/>
        <v>0</v>
      </c>
    </row>
    <row r="262" spans="3:27" ht="15">
      <c r="C262" s="415">
        <v>256</v>
      </c>
      <c r="D262" s="415">
        <v>238</v>
      </c>
      <c r="E262" s="66" t="s">
        <v>580</v>
      </c>
      <c r="F262" s="525" t="s">
        <v>1012</v>
      </c>
      <c r="G262" s="364">
        <v>-508430.36783599947</v>
      </c>
      <c r="H262" t="s">
        <v>2580</v>
      </c>
      <c r="K262" s="415">
        <v>256</v>
      </c>
      <c r="L262" s="415">
        <v>238</v>
      </c>
      <c r="M262" s="415"/>
      <c r="N262" s="66" t="s">
        <v>580</v>
      </c>
      <c r="O262" t="s">
        <v>1872</v>
      </c>
      <c r="P262" s="577">
        <v>2954845.17</v>
      </c>
      <c r="Q262" s="577">
        <v>878881.5</v>
      </c>
      <c r="R262" s="577">
        <v>1988231.94</v>
      </c>
      <c r="S262" s="577">
        <v>77872.800000000003</v>
      </c>
      <c r="T262" s="577">
        <v>162589.6699999999</v>
      </c>
      <c r="U262" s="577">
        <v>0</v>
      </c>
      <c r="V262" s="200"/>
      <c r="W262" s="577">
        <v>355699.62783599994</v>
      </c>
      <c r="X262" s="590">
        <v>3107575.9099999997</v>
      </c>
      <c r="Y262" s="577">
        <v>3463275.5378359994</v>
      </c>
      <c r="Z262" s="577">
        <v>-508430.36783599947</v>
      </c>
      <c r="AA262" s="375">
        <f t="shared" si="3"/>
        <v>0</v>
      </c>
    </row>
    <row r="263" spans="3:27" ht="15">
      <c r="C263" s="415">
        <v>257</v>
      </c>
      <c r="D263" s="415">
        <v>110</v>
      </c>
      <c r="E263" s="66" t="s">
        <v>363</v>
      </c>
      <c r="F263" t="s">
        <v>919</v>
      </c>
      <c r="G263" s="364">
        <v>-993424.39908731217</v>
      </c>
      <c r="H263" t="s">
        <v>2580</v>
      </c>
      <c r="K263" s="415">
        <v>257</v>
      </c>
      <c r="L263" s="415">
        <v>110</v>
      </c>
      <c r="M263" s="415"/>
      <c r="N263" s="66" t="s">
        <v>363</v>
      </c>
      <c r="O263" t="s">
        <v>1762</v>
      </c>
      <c r="P263" s="577">
        <v>2024787.56</v>
      </c>
      <c r="Q263" s="577">
        <v>718847.21903363266</v>
      </c>
      <c r="R263" s="577">
        <v>1931431.4854220087</v>
      </c>
      <c r="S263" s="577">
        <v>55896.707030655882</v>
      </c>
      <c r="T263" s="577">
        <v>15079.488513703145</v>
      </c>
      <c r="U263" s="577">
        <v>0</v>
      </c>
      <c r="V263" s="200"/>
      <c r="W263" s="577">
        <v>296957.05908731231</v>
      </c>
      <c r="X263" s="590">
        <v>2721254.9</v>
      </c>
      <c r="Y263" s="577">
        <v>3018211.9590873122</v>
      </c>
      <c r="Z263" s="577">
        <v>-993424.39908731217</v>
      </c>
      <c r="AA263" s="375">
        <f t="shared" si="3"/>
        <v>0</v>
      </c>
    </row>
    <row r="264" spans="3:27" ht="15">
      <c r="C264" s="415">
        <v>258</v>
      </c>
      <c r="D264" s="415">
        <v>70</v>
      </c>
      <c r="E264" s="66" t="s">
        <v>285</v>
      </c>
      <c r="F264" t="s">
        <v>881</v>
      </c>
      <c r="G264" s="364">
        <v>-110049.45077500009</v>
      </c>
      <c r="H264" t="s">
        <v>2580</v>
      </c>
      <c r="K264" s="415">
        <v>258</v>
      </c>
      <c r="L264" s="415">
        <v>70</v>
      </c>
      <c r="M264" s="415"/>
      <c r="N264" s="66" t="s">
        <v>285</v>
      </c>
      <c r="O264" t="s">
        <v>1722</v>
      </c>
      <c r="P264" s="577">
        <v>463668.05</v>
      </c>
      <c r="Q264" s="577">
        <v>207625.48</v>
      </c>
      <c r="R264" s="577">
        <v>251999.62</v>
      </c>
      <c r="S264" s="577">
        <v>16001.34</v>
      </c>
      <c r="T264" s="577">
        <v>14966.09</v>
      </c>
      <c r="U264" s="577">
        <v>13656.56</v>
      </c>
      <c r="V264" s="200"/>
      <c r="W264" s="577">
        <v>69468.410775000011</v>
      </c>
      <c r="X264" s="590">
        <v>504249.09</v>
      </c>
      <c r="Y264" s="577">
        <v>573717.50077500008</v>
      </c>
      <c r="Z264" s="577">
        <v>-110049.45077500009</v>
      </c>
      <c r="AA264" s="375">
        <f t="shared" ref="AA264:AA327" si="4">+G264-Z264</f>
        <v>0</v>
      </c>
    </row>
    <row r="265" spans="3:27" ht="15">
      <c r="C265" s="415">
        <v>259</v>
      </c>
      <c r="D265" s="415">
        <v>189</v>
      </c>
      <c r="E265" s="66" t="s">
        <v>492</v>
      </c>
      <c r="F265" t="s">
        <v>975</v>
      </c>
      <c r="G265" s="364">
        <v>-32796.298520000011</v>
      </c>
      <c r="H265" t="s">
        <v>2580</v>
      </c>
      <c r="K265" s="415">
        <v>259</v>
      </c>
      <c r="L265" s="415">
        <v>189</v>
      </c>
      <c r="M265" s="415"/>
      <c r="N265" s="66" t="s">
        <v>492</v>
      </c>
      <c r="O265" t="s">
        <v>1828</v>
      </c>
      <c r="P265" s="577">
        <v>472129.61</v>
      </c>
      <c r="Q265" s="577">
        <v>238679.59</v>
      </c>
      <c r="R265" s="577">
        <v>208761.28</v>
      </c>
      <c r="S265" s="577">
        <v>15882.98</v>
      </c>
      <c r="T265" s="577">
        <v>2567.1400000000003</v>
      </c>
      <c r="U265" s="577">
        <v>0</v>
      </c>
      <c r="V265" s="200"/>
      <c r="W265" s="577">
        <v>39034.918520000007</v>
      </c>
      <c r="X265" s="590">
        <v>465890.99</v>
      </c>
      <c r="Y265" s="577">
        <v>504925.90852</v>
      </c>
      <c r="Z265" s="577">
        <v>-32796.298520000011</v>
      </c>
      <c r="AA265" s="375">
        <f t="shared" si="4"/>
        <v>0</v>
      </c>
    </row>
    <row r="266" spans="3:27" ht="15">
      <c r="C266" s="415">
        <v>260</v>
      </c>
      <c r="D266" s="415">
        <v>130</v>
      </c>
      <c r="E266" s="66" t="s">
        <v>382</v>
      </c>
      <c r="F266" t="s">
        <v>928</v>
      </c>
      <c r="G266" s="364">
        <v>47594.79481672775</v>
      </c>
      <c r="H266" t="s">
        <v>2580</v>
      </c>
      <c r="K266" s="415">
        <v>260</v>
      </c>
      <c r="L266" s="415">
        <v>130</v>
      </c>
      <c r="M266" s="415"/>
      <c r="N266" s="66" t="s">
        <v>382</v>
      </c>
      <c r="O266" t="s">
        <v>1773</v>
      </c>
      <c r="P266" s="577">
        <v>5579524.3600000003</v>
      </c>
      <c r="Q266" s="577">
        <v>2221249.7117433161</v>
      </c>
      <c r="R266" s="577">
        <v>2421112.0533262142</v>
      </c>
      <c r="S266" s="577">
        <v>271537.01393744611</v>
      </c>
      <c r="T266" s="577">
        <v>98829.893197056124</v>
      </c>
      <c r="U266" s="577">
        <v>87359.097795967202</v>
      </c>
      <c r="V266" s="200"/>
      <c r="W266" s="577">
        <v>431841.79518327286</v>
      </c>
      <c r="X266" s="590">
        <v>5100087.7699999996</v>
      </c>
      <c r="Y266" s="577">
        <v>5531929.5651832726</v>
      </c>
      <c r="Z266" s="577">
        <v>47594.79481672775</v>
      </c>
      <c r="AA266" s="375">
        <f t="shared" si="4"/>
        <v>0</v>
      </c>
    </row>
    <row r="267" spans="3:27" ht="15">
      <c r="C267" s="415">
        <v>261</v>
      </c>
      <c r="D267" s="415">
        <v>91</v>
      </c>
      <c r="E267" s="66" t="s">
        <v>326</v>
      </c>
      <c r="F267" t="s">
        <v>901</v>
      </c>
      <c r="G267" s="364">
        <v>-330855.42635600007</v>
      </c>
      <c r="H267" t="s">
        <v>2580</v>
      </c>
      <c r="K267" s="415">
        <v>261</v>
      </c>
      <c r="L267" s="415">
        <v>91</v>
      </c>
      <c r="M267" s="415"/>
      <c r="N267" s="66" t="s">
        <v>326</v>
      </c>
      <c r="O267" t="s">
        <v>1743</v>
      </c>
      <c r="P267" s="577">
        <v>396576.95</v>
      </c>
      <c r="Q267" s="577">
        <v>165036.33999999997</v>
      </c>
      <c r="R267" s="577">
        <v>429541.95999999996</v>
      </c>
      <c r="S267" s="577">
        <v>9692.64</v>
      </c>
      <c r="T267" s="577">
        <v>25133.360000000044</v>
      </c>
      <c r="U267" s="577">
        <v>0</v>
      </c>
      <c r="V267" s="200"/>
      <c r="W267" s="577">
        <v>98028.076356000005</v>
      </c>
      <c r="X267" s="590">
        <v>629404.30000000005</v>
      </c>
      <c r="Y267" s="577">
        <v>727432.37635600008</v>
      </c>
      <c r="Z267" s="577">
        <v>-330855.42635600007</v>
      </c>
      <c r="AA267" s="375">
        <f t="shared" si="4"/>
        <v>0</v>
      </c>
    </row>
    <row r="268" spans="3:27" ht="15">
      <c r="C268" s="415">
        <v>262</v>
      </c>
      <c r="D268" s="415">
        <v>171</v>
      </c>
      <c r="E268" s="66" t="s">
        <v>458</v>
      </c>
      <c r="F268" t="s">
        <v>958</v>
      </c>
      <c r="G268" s="364">
        <v>-32042.496876999998</v>
      </c>
      <c r="H268" t="s">
        <v>2580</v>
      </c>
      <c r="K268" s="415">
        <v>262</v>
      </c>
      <c r="L268" s="415">
        <v>171</v>
      </c>
      <c r="M268" s="415"/>
      <c r="N268" s="66" t="s">
        <v>458</v>
      </c>
      <c r="O268" t="s">
        <v>1812</v>
      </c>
      <c r="P268" s="577">
        <v>127382.62</v>
      </c>
      <c r="Q268" s="577">
        <v>4382.75</v>
      </c>
      <c r="R268" s="577">
        <v>25574.799999999999</v>
      </c>
      <c r="S268" s="577">
        <v>22.37</v>
      </c>
      <c r="T268" s="577">
        <v>112549.82</v>
      </c>
      <c r="U268" s="577">
        <v>0</v>
      </c>
      <c r="V268" s="200"/>
      <c r="W268" s="577">
        <v>16895.376876999999</v>
      </c>
      <c r="X268" s="590">
        <v>142529.74</v>
      </c>
      <c r="Y268" s="577">
        <v>159425.11687699999</v>
      </c>
      <c r="Z268" s="577">
        <v>-32042.496876999998</v>
      </c>
      <c r="AA268" s="375">
        <f t="shared" si="4"/>
        <v>0</v>
      </c>
    </row>
    <row r="269" spans="3:27" ht="15">
      <c r="C269" s="415">
        <v>263</v>
      </c>
      <c r="D269" s="415">
        <v>244</v>
      </c>
      <c r="E269" s="66" t="s">
        <v>592</v>
      </c>
      <c r="F269" t="s">
        <v>1017</v>
      </c>
      <c r="G269" s="364">
        <v>496519.4350345768</v>
      </c>
      <c r="H269" t="s">
        <v>2580</v>
      </c>
      <c r="K269" s="415">
        <v>263</v>
      </c>
      <c r="L269" s="415">
        <v>244</v>
      </c>
      <c r="M269" s="415"/>
      <c r="N269" s="66" t="s">
        <v>592</v>
      </c>
      <c r="O269" t="s">
        <v>1878</v>
      </c>
      <c r="P269" s="577">
        <v>23776727.48</v>
      </c>
      <c r="Q269" s="577">
        <v>9753166.7719228659</v>
      </c>
      <c r="R269" s="577">
        <v>10450488.157952998</v>
      </c>
      <c r="S269" s="577">
        <v>644519.39501433552</v>
      </c>
      <c r="T269" s="577">
        <v>403706.906009331</v>
      </c>
      <c r="U269" s="577">
        <v>561090.84910047089</v>
      </c>
      <c r="V269" s="200"/>
      <c r="W269" s="577">
        <v>1467235.9649654224</v>
      </c>
      <c r="X269" s="590">
        <v>21812972.080000002</v>
      </c>
      <c r="Y269" s="577">
        <v>23280208.044965424</v>
      </c>
      <c r="Z269" s="577">
        <v>496519.4350345768</v>
      </c>
      <c r="AA269" s="375">
        <f t="shared" si="4"/>
        <v>0</v>
      </c>
    </row>
    <row r="270" spans="3:27" ht="15">
      <c r="C270" s="415">
        <v>264</v>
      </c>
      <c r="D270" s="415">
        <v>259</v>
      </c>
      <c r="E270" s="66" t="s">
        <v>1418</v>
      </c>
      <c r="F270" t="s">
        <v>1625</v>
      </c>
      <c r="G270" s="364">
        <v>65058.270839999896</v>
      </c>
      <c r="H270" t="s">
        <v>2580</v>
      </c>
      <c r="K270" s="415">
        <v>264</v>
      </c>
      <c r="L270" s="415">
        <v>259</v>
      </c>
      <c r="M270" s="415"/>
      <c r="N270" s="66" t="s">
        <v>1418</v>
      </c>
      <c r="O270" t="s">
        <v>1967</v>
      </c>
      <c r="P270" s="577">
        <v>773641.62</v>
      </c>
      <c r="Q270" s="577">
        <v>395130.06</v>
      </c>
      <c r="R270" s="577">
        <v>221320.26</v>
      </c>
      <c r="S270" s="577">
        <v>1196.54</v>
      </c>
      <c r="T270" s="577">
        <v>18082.900000000001</v>
      </c>
      <c r="U270" s="577">
        <v>0</v>
      </c>
      <c r="V270" s="497"/>
      <c r="W270" s="577">
        <v>72853.589160000003</v>
      </c>
      <c r="X270" s="590">
        <v>635729.76000000013</v>
      </c>
      <c r="Y270" s="577">
        <v>708583.3491600001</v>
      </c>
      <c r="Z270" s="577">
        <v>65058.270839999896</v>
      </c>
      <c r="AA270" s="375">
        <f t="shared" si="4"/>
        <v>0</v>
      </c>
    </row>
    <row r="271" spans="3:27" ht="15">
      <c r="C271" s="415">
        <v>265</v>
      </c>
      <c r="D271" s="415">
        <v>163</v>
      </c>
      <c r="E271" s="66" t="s">
        <v>442</v>
      </c>
      <c r="F271" t="s">
        <v>951</v>
      </c>
      <c r="G271" s="364">
        <v>-75701.887886000011</v>
      </c>
      <c r="H271" t="s">
        <v>2580</v>
      </c>
      <c r="K271" s="415">
        <v>265</v>
      </c>
      <c r="L271" s="415">
        <v>163</v>
      </c>
      <c r="M271" s="415"/>
      <c r="N271" s="66" t="s">
        <v>442</v>
      </c>
      <c r="O271" t="s">
        <v>1804</v>
      </c>
      <c r="P271" s="577">
        <v>55007.34</v>
      </c>
      <c r="Q271" s="577">
        <v>26531.7</v>
      </c>
      <c r="R271" s="577">
        <v>61450.950000000004</v>
      </c>
      <c r="S271" s="577">
        <v>1292.6099999999999</v>
      </c>
      <c r="T271" s="577">
        <v>11489.900000000001</v>
      </c>
      <c r="U271" s="577">
        <v>7740.84</v>
      </c>
      <c r="V271" s="200"/>
      <c r="W271" s="577">
        <v>22203.227886000001</v>
      </c>
      <c r="X271" s="590">
        <v>108506</v>
      </c>
      <c r="Y271" s="577">
        <v>130709.22788600001</v>
      </c>
      <c r="Z271" s="577">
        <v>-75701.887886000011</v>
      </c>
      <c r="AA271" s="375">
        <f t="shared" si="4"/>
        <v>0</v>
      </c>
    </row>
    <row r="272" spans="3:27" ht="15">
      <c r="C272" s="415">
        <v>266</v>
      </c>
      <c r="D272" s="415">
        <v>312</v>
      </c>
      <c r="E272" s="66" t="s">
        <v>707</v>
      </c>
      <c r="F272" t="s">
        <v>1067</v>
      </c>
      <c r="G272" s="364">
        <v>-120063.17750999996</v>
      </c>
      <c r="H272" t="s">
        <v>2580</v>
      </c>
      <c r="K272" s="415">
        <v>266</v>
      </c>
      <c r="L272" s="415">
        <v>312</v>
      </c>
      <c r="M272" s="415"/>
      <c r="N272" s="66" t="s">
        <v>707</v>
      </c>
      <c r="O272" t="s">
        <v>2605</v>
      </c>
      <c r="P272" s="577">
        <v>103798.52</v>
      </c>
      <c r="Q272" s="577">
        <v>52504.19</v>
      </c>
      <c r="R272" s="577">
        <v>113170.43</v>
      </c>
      <c r="S272" s="577">
        <v>4724.2700000000004</v>
      </c>
      <c r="T272" s="577">
        <v>442.44</v>
      </c>
      <c r="U272" s="577">
        <v>9058.1200000000008</v>
      </c>
      <c r="V272" s="200"/>
      <c r="W272" s="577">
        <v>43962.247510000001</v>
      </c>
      <c r="X272" s="590">
        <v>179899.44999999998</v>
      </c>
      <c r="Y272" s="577">
        <v>223861.69750999997</v>
      </c>
      <c r="Z272" s="577">
        <v>-120063.17750999996</v>
      </c>
      <c r="AA272" s="375">
        <f t="shared" si="4"/>
        <v>0</v>
      </c>
    </row>
    <row r="273" spans="3:27" ht="15">
      <c r="C273" s="415">
        <v>267</v>
      </c>
      <c r="D273" s="415">
        <v>243</v>
      </c>
      <c r="E273" s="66" t="s">
        <v>590</v>
      </c>
      <c r="F273" t="s">
        <v>1622</v>
      </c>
      <c r="G273" s="364">
        <v>-1074744.4231585106</v>
      </c>
      <c r="H273" t="s">
        <v>2580</v>
      </c>
      <c r="K273" s="415">
        <v>267</v>
      </c>
      <c r="L273" s="415">
        <v>243</v>
      </c>
      <c r="M273" s="415"/>
      <c r="N273" s="66" t="s">
        <v>590</v>
      </c>
      <c r="O273" t="s">
        <v>2606</v>
      </c>
      <c r="P273" s="577">
        <v>1824373.92</v>
      </c>
      <c r="Q273" s="577">
        <v>960218.73274241237</v>
      </c>
      <c r="R273" s="577">
        <v>1607430.5949072733</v>
      </c>
      <c r="S273" s="577">
        <v>69107.117584101623</v>
      </c>
      <c r="T273" s="577">
        <v>14756.434766212486</v>
      </c>
      <c r="U273" s="577">
        <v>0</v>
      </c>
      <c r="V273" s="200"/>
      <c r="W273" s="577">
        <v>247605.4631585108</v>
      </c>
      <c r="X273" s="590">
        <v>2651512.88</v>
      </c>
      <c r="Y273" s="577">
        <v>2899118.3431585105</v>
      </c>
      <c r="Z273" s="577">
        <v>-1074744.4231585106</v>
      </c>
      <c r="AA273" s="375">
        <f t="shared" si="4"/>
        <v>0</v>
      </c>
    </row>
    <row r="274" spans="3:27" ht="15">
      <c r="C274" s="415">
        <v>268</v>
      </c>
      <c r="D274" s="415">
        <v>62</v>
      </c>
      <c r="E274" s="339" t="s">
        <v>271</v>
      </c>
      <c r="F274" s="340" t="s">
        <v>272</v>
      </c>
      <c r="G274" s="364"/>
      <c r="H274" t="s">
        <v>2580</v>
      </c>
      <c r="K274" s="415">
        <v>268</v>
      </c>
      <c r="L274" s="415">
        <v>62</v>
      </c>
      <c r="M274" s="415"/>
      <c r="N274" s="66"/>
      <c r="P274" s="577"/>
      <c r="Q274" s="577"/>
      <c r="R274" s="577"/>
      <c r="S274" s="577"/>
      <c r="T274" s="577"/>
      <c r="U274" s="577"/>
      <c r="V274" s="200"/>
      <c r="W274" s="577"/>
      <c r="X274" s="590"/>
      <c r="Y274" s="577"/>
      <c r="Z274" s="577"/>
      <c r="AA274" s="375">
        <f t="shared" si="4"/>
        <v>0</v>
      </c>
    </row>
    <row r="275" spans="3:27" ht="15">
      <c r="C275" s="415">
        <v>269</v>
      </c>
      <c r="D275" s="415">
        <v>42</v>
      </c>
      <c r="E275" s="66" t="s">
        <v>231</v>
      </c>
      <c r="F275" t="s">
        <v>232</v>
      </c>
      <c r="G275" s="364">
        <v>-69824.586384000009</v>
      </c>
      <c r="H275" t="s">
        <v>2580</v>
      </c>
      <c r="K275" s="415">
        <v>269</v>
      </c>
      <c r="L275" s="415">
        <v>42</v>
      </c>
      <c r="M275" s="415"/>
      <c r="N275" s="66" t="s">
        <v>231</v>
      </c>
      <c r="O275" t="s">
        <v>2607</v>
      </c>
      <c r="P275" s="577">
        <v>26894.69</v>
      </c>
      <c r="Q275" s="577">
        <v>20944.97</v>
      </c>
      <c r="R275" s="577">
        <v>42886.33</v>
      </c>
      <c r="S275" s="577">
        <v>12690.94</v>
      </c>
      <c r="T275" s="577">
        <v>1004.5</v>
      </c>
      <c r="U275" s="577">
        <v>0</v>
      </c>
      <c r="V275" s="200"/>
      <c r="W275" s="577">
        <v>19192.536384000003</v>
      </c>
      <c r="X275" s="590">
        <v>77526.740000000005</v>
      </c>
      <c r="Y275" s="577">
        <v>96719.276384000012</v>
      </c>
      <c r="Z275" s="577">
        <v>-69824.586384000009</v>
      </c>
      <c r="AA275" s="375">
        <f t="shared" si="4"/>
        <v>0</v>
      </c>
    </row>
    <row r="276" spans="3:27" ht="15">
      <c r="C276" s="415">
        <v>270</v>
      </c>
      <c r="D276" s="415">
        <v>15</v>
      </c>
      <c r="E276" s="339" t="s">
        <v>191</v>
      </c>
      <c r="F276" s="340" t="s">
        <v>192</v>
      </c>
      <c r="G276" s="364"/>
      <c r="H276" t="s">
        <v>2580</v>
      </c>
      <c r="K276" s="415">
        <v>270</v>
      </c>
      <c r="L276" s="415">
        <v>15</v>
      </c>
      <c r="M276" s="415"/>
      <c r="N276" s="66"/>
      <c r="P276" s="577"/>
      <c r="Q276" s="577"/>
      <c r="R276" s="577"/>
      <c r="S276" s="577"/>
      <c r="T276" s="577"/>
      <c r="U276" s="577"/>
      <c r="V276" s="200"/>
      <c r="W276" s="577"/>
      <c r="X276" s="590"/>
      <c r="Y276" s="577"/>
      <c r="Z276" s="577"/>
      <c r="AA276" s="375">
        <f t="shared" si="4"/>
        <v>0</v>
      </c>
    </row>
    <row r="277" spans="3:27" ht="15">
      <c r="C277" s="415">
        <v>271</v>
      </c>
      <c r="D277" s="415">
        <v>196</v>
      </c>
      <c r="E277" s="66" t="s">
        <v>505</v>
      </c>
      <c r="F277" t="s">
        <v>982</v>
      </c>
      <c r="G277" s="364">
        <v>-117087.25084999995</v>
      </c>
      <c r="H277" t="s">
        <v>2580</v>
      </c>
      <c r="K277" s="415">
        <v>271</v>
      </c>
      <c r="L277" s="415">
        <v>196</v>
      </c>
      <c r="M277" s="415"/>
      <c r="N277" s="66" t="s">
        <v>505</v>
      </c>
      <c r="O277" t="s">
        <v>2608</v>
      </c>
      <c r="P277" s="577">
        <v>1530936</v>
      </c>
      <c r="Q277" s="577">
        <v>558151.19999999995</v>
      </c>
      <c r="R277" s="577">
        <v>707172.36</v>
      </c>
      <c r="S277" s="577">
        <v>75811</v>
      </c>
      <c r="T277" s="577">
        <v>152529.12999999989</v>
      </c>
      <c r="U277" s="577">
        <v>0</v>
      </c>
      <c r="V277" s="200"/>
      <c r="W277" s="577">
        <v>154359.56084999998</v>
      </c>
      <c r="X277" s="590">
        <v>1493663.69</v>
      </c>
      <c r="Y277" s="577">
        <v>1648023.25085</v>
      </c>
      <c r="Z277" s="577">
        <v>-117087.25084999995</v>
      </c>
      <c r="AA277" s="375">
        <f t="shared" si="4"/>
        <v>0</v>
      </c>
    </row>
    <row r="278" spans="3:27" ht="15">
      <c r="C278" s="415">
        <v>272</v>
      </c>
      <c r="D278" s="415">
        <v>308</v>
      </c>
      <c r="E278" s="339" t="s">
        <v>699</v>
      </c>
      <c r="F278" s="340" t="s">
        <v>700</v>
      </c>
      <c r="G278" s="364"/>
      <c r="H278" t="s">
        <v>2580</v>
      </c>
      <c r="K278" s="415">
        <v>272</v>
      </c>
      <c r="L278" s="415">
        <v>308</v>
      </c>
      <c r="M278" s="415"/>
      <c r="N278" s="66"/>
      <c r="P278" s="577"/>
      <c r="Q278" s="577"/>
      <c r="R278" s="577"/>
      <c r="S278" s="577"/>
      <c r="T278" s="577"/>
      <c r="U278" s="577"/>
      <c r="V278" s="200"/>
      <c r="W278" s="577"/>
      <c r="X278" s="590"/>
      <c r="Y278" s="577"/>
      <c r="Z278" s="577"/>
      <c r="AA278" s="375">
        <f t="shared" si="4"/>
        <v>0</v>
      </c>
    </row>
    <row r="279" spans="3:27" ht="15">
      <c r="C279" s="415">
        <v>273</v>
      </c>
      <c r="D279" s="415">
        <v>229</v>
      </c>
      <c r="E279" s="66" t="s">
        <v>562</v>
      </c>
      <c r="F279" t="s">
        <v>563</v>
      </c>
      <c r="G279" s="364">
        <v>-87760.621829000069</v>
      </c>
      <c r="H279" t="s">
        <v>2580</v>
      </c>
      <c r="K279" s="415">
        <v>273</v>
      </c>
      <c r="L279" s="415">
        <v>229</v>
      </c>
      <c r="M279" s="415"/>
      <c r="N279" s="66" t="s">
        <v>562</v>
      </c>
      <c r="O279" t="s">
        <v>2609</v>
      </c>
      <c r="P279" s="577">
        <v>502233.37</v>
      </c>
      <c r="Q279" s="577">
        <v>242277.75</v>
      </c>
      <c r="R279" s="577">
        <v>262718.36</v>
      </c>
      <c r="S279" s="577">
        <v>12974.44</v>
      </c>
      <c r="T279" s="577">
        <v>3306.0299999999997</v>
      </c>
      <c r="U279" s="577">
        <v>0</v>
      </c>
      <c r="V279" s="497"/>
      <c r="W279" s="577">
        <v>68717.411829000004</v>
      </c>
      <c r="X279" s="590">
        <v>521276.58</v>
      </c>
      <c r="Y279" s="577">
        <v>589993.99182900006</v>
      </c>
      <c r="Z279" s="577">
        <v>-87760.621829000069</v>
      </c>
      <c r="AA279" s="375">
        <f t="shared" si="4"/>
        <v>0</v>
      </c>
    </row>
    <row r="280" spans="3:27" ht="15">
      <c r="C280" s="415">
        <v>274</v>
      </c>
      <c r="D280" s="415">
        <v>240</v>
      </c>
      <c r="E280" s="66" t="s">
        <v>584</v>
      </c>
      <c r="F280" t="s">
        <v>1014</v>
      </c>
      <c r="G280" s="364">
        <v>-166124.01501270942</v>
      </c>
      <c r="H280" t="s">
        <v>2580</v>
      </c>
      <c r="K280" s="415">
        <v>274</v>
      </c>
      <c r="L280" s="415">
        <v>240</v>
      </c>
      <c r="M280" s="415"/>
      <c r="N280" s="66" t="s">
        <v>584</v>
      </c>
      <c r="O280" t="s">
        <v>1874</v>
      </c>
      <c r="P280" s="577">
        <v>1276307.99</v>
      </c>
      <c r="Q280" s="577">
        <v>597054.5692657847</v>
      </c>
      <c r="R280" s="577">
        <v>671782.5619096146</v>
      </c>
      <c r="S280" s="577">
        <v>15605.925972650948</v>
      </c>
      <c r="T280" s="577">
        <v>141.23556611297991</v>
      </c>
      <c r="U280" s="577">
        <v>26117.017285836759</v>
      </c>
      <c r="V280" s="498"/>
      <c r="W280" s="577">
        <v>131730.69501270933</v>
      </c>
      <c r="X280" s="590">
        <v>1310701.31</v>
      </c>
      <c r="Y280" s="577">
        <v>1442432.0050127094</v>
      </c>
      <c r="Z280" s="577">
        <v>-166124.01501270942</v>
      </c>
      <c r="AA280" s="375">
        <f t="shared" si="4"/>
        <v>0</v>
      </c>
    </row>
    <row r="281" spans="3:27" ht="15">
      <c r="C281" s="415">
        <v>275</v>
      </c>
      <c r="D281" s="415">
        <v>268</v>
      </c>
      <c r="E281" s="66" t="s">
        <v>630</v>
      </c>
      <c r="F281" t="s">
        <v>1033</v>
      </c>
      <c r="G281" s="364">
        <v>1259.0384510000004</v>
      </c>
      <c r="H281" t="s">
        <v>2580</v>
      </c>
      <c r="K281" s="415">
        <v>275</v>
      </c>
      <c r="L281" s="415">
        <v>268</v>
      </c>
      <c r="M281" s="415"/>
      <c r="N281" s="66" t="s">
        <v>630</v>
      </c>
      <c r="O281" t="s">
        <v>1898</v>
      </c>
      <c r="P281" s="577">
        <v>130333.86</v>
      </c>
      <c r="Q281" s="577">
        <v>59414.29</v>
      </c>
      <c r="R281" s="577">
        <v>52737.03</v>
      </c>
      <c r="S281" s="577">
        <v>4698.3599999999997</v>
      </c>
      <c r="T281" s="577">
        <v>11243.04</v>
      </c>
      <c r="U281" s="577">
        <v>0</v>
      </c>
      <c r="V281" s="497"/>
      <c r="W281" s="577">
        <v>982.10154899999986</v>
      </c>
      <c r="X281" s="590">
        <v>128092.72</v>
      </c>
      <c r="Y281" s="577">
        <v>129074.821549</v>
      </c>
      <c r="Z281" s="577">
        <v>1259.0384510000004</v>
      </c>
      <c r="AA281" s="375">
        <f t="shared" si="4"/>
        <v>0</v>
      </c>
    </row>
    <row r="282" spans="3:27" ht="15">
      <c r="C282" s="415">
        <v>276</v>
      </c>
      <c r="D282" s="415">
        <v>213</v>
      </c>
      <c r="E282" s="66" t="s">
        <v>1426</v>
      </c>
      <c r="F282" t="s">
        <v>1595</v>
      </c>
      <c r="G282" s="364">
        <v>-1660.6864199999909</v>
      </c>
      <c r="H282" t="s">
        <v>2580</v>
      </c>
      <c r="K282" s="415">
        <v>276</v>
      </c>
      <c r="L282" s="415">
        <v>119</v>
      </c>
      <c r="M282" s="415"/>
      <c r="N282" s="66" t="s">
        <v>1426</v>
      </c>
      <c r="O282" t="s">
        <v>2611</v>
      </c>
      <c r="P282" s="577">
        <v>41150.400000000001</v>
      </c>
      <c r="Q282" s="577">
        <v>92496.9</v>
      </c>
      <c r="R282" s="577">
        <v>0</v>
      </c>
      <c r="S282" s="577">
        <v>6426.8</v>
      </c>
      <c r="T282" s="577">
        <v>-44558.66</v>
      </c>
      <c r="U282" s="577">
        <v>0</v>
      </c>
      <c r="V282" s="200"/>
      <c r="W282" s="577">
        <v>-11553.953579999999</v>
      </c>
      <c r="X282" s="590">
        <v>54365.039999999994</v>
      </c>
      <c r="Y282" s="577">
        <v>42811.086419999992</v>
      </c>
      <c r="Z282" s="577">
        <v>-1660.6864199999909</v>
      </c>
      <c r="AA282" s="375">
        <f t="shared" si="4"/>
        <v>0</v>
      </c>
    </row>
    <row r="283" spans="3:27" ht="15">
      <c r="C283" s="415">
        <v>277</v>
      </c>
      <c r="D283" s="415">
        <v>117</v>
      </c>
      <c r="E283" s="66" t="s">
        <v>1427</v>
      </c>
      <c r="F283" t="s">
        <v>1596</v>
      </c>
      <c r="G283" s="364">
        <v>-12610.286843999995</v>
      </c>
      <c r="H283" t="s">
        <v>2580</v>
      </c>
      <c r="K283" s="415">
        <v>277</v>
      </c>
      <c r="L283" s="415">
        <v>213</v>
      </c>
      <c r="M283" s="415"/>
      <c r="N283" s="66" t="s">
        <v>1427</v>
      </c>
      <c r="O283" t="s">
        <v>2612</v>
      </c>
      <c r="P283" s="577">
        <v>24542.61</v>
      </c>
      <c r="Q283" s="577">
        <v>64861.229999999996</v>
      </c>
      <c r="R283" s="577">
        <v>0</v>
      </c>
      <c r="S283" s="577">
        <v>8337.34</v>
      </c>
      <c r="T283" s="577">
        <v>-30505.78</v>
      </c>
      <c r="U283" s="577">
        <v>0</v>
      </c>
      <c r="V283" s="200"/>
      <c r="W283" s="577">
        <v>-5539.8931560000001</v>
      </c>
      <c r="X283" s="590">
        <v>42692.789999999994</v>
      </c>
      <c r="Y283" s="577">
        <v>37152.896843999995</v>
      </c>
      <c r="Z283" s="577">
        <v>-12610.286843999995</v>
      </c>
      <c r="AA283" s="375">
        <f t="shared" si="4"/>
        <v>0</v>
      </c>
    </row>
    <row r="284" spans="3:27" ht="15">
      <c r="C284" s="415">
        <v>278</v>
      </c>
      <c r="D284" s="415">
        <v>119</v>
      </c>
      <c r="E284" s="66" t="s">
        <v>1476</v>
      </c>
      <c r="F284" t="s">
        <v>1613</v>
      </c>
      <c r="G284" s="364">
        <v>-93611.184015000035</v>
      </c>
      <c r="H284" t="s">
        <v>2580</v>
      </c>
      <c r="K284" s="415">
        <v>278</v>
      </c>
      <c r="L284" s="415">
        <v>117</v>
      </c>
      <c r="M284" s="415"/>
      <c r="N284" s="66" t="s">
        <v>1476</v>
      </c>
      <c r="O284" t="s">
        <v>2610</v>
      </c>
      <c r="P284" s="577">
        <v>67176.84</v>
      </c>
      <c r="Q284" s="577">
        <v>173567.7</v>
      </c>
      <c r="R284" s="577">
        <v>58746.28</v>
      </c>
      <c r="S284" s="577">
        <v>18528.63</v>
      </c>
      <c r="T284" s="577">
        <v>-87605.26</v>
      </c>
      <c r="U284" s="577">
        <v>0</v>
      </c>
      <c r="V284" s="200"/>
      <c r="W284" s="577">
        <v>-2449.3259849999981</v>
      </c>
      <c r="X284" s="590">
        <v>163237.35000000003</v>
      </c>
      <c r="Y284" s="577">
        <v>160788.02401500003</v>
      </c>
      <c r="Z284" s="577">
        <v>-93611.184015000035</v>
      </c>
      <c r="AA284" s="375">
        <f t="shared" si="4"/>
        <v>0</v>
      </c>
    </row>
    <row r="285" spans="3:27" ht="15">
      <c r="C285" s="415">
        <v>279</v>
      </c>
      <c r="D285" s="415">
        <v>201</v>
      </c>
      <c r="E285" s="66" t="s">
        <v>515</v>
      </c>
      <c r="F285" t="s">
        <v>987</v>
      </c>
      <c r="G285" s="364">
        <v>-214215.93379092775</v>
      </c>
      <c r="H285" t="s">
        <v>2580</v>
      </c>
      <c r="K285" s="415">
        <v>279</v>
      </c>
      <c r="L285" s="415">
        <v>201</v>
      </c>
      <c r="M285" s="415"/>
      <c r="N285" s="66" t="s">
        <v>515</v>
      </c>
      <c r="O285" t="s">
        <v>2613</v>
      </c>
      <c r="P285" s="577">
        <v>4537094.88</v>
      </c>
      <c r="Q285" s="577">
        <v>1926621.5636027921</v>
      </c>
      <c r="R285" s="577">
        <v>2153055.7161453762</v>
      </c>
      <c r="S285" s="577">
        <v>246893.37392963297</v>
      </c>
      <c r="T285" s="577">
        <v>88066.577525948043</v>
      </c>
      <c r="U285" s="577">
        <v>5767.4987962509376</v>
      </c>
      <c r="V285" s="200"/>
      <c r="W285" s="577">
        <v>330906.08379092731</v>
      </c>
      <c r="X285" s="590">
        <v>4420404.7300000004</v>
      </c>
      <c r="Y285" s="577">
        <v>4751310.8137909276</v>
      </c>
      <c r="Z285" s="577">
        <v>-214215.93379092775</v>
      </c>
      <c r="AA285" s="375">
        <f t="shared" si="4"/>
        <v>0</v>
      </c>
    </row>
    <row r="286" spans="3:27" ht="15">
      <c r="C286" s="415">
        <v>280</v>
      </c>
      <c r="D286" s="415">
        <v>321</v>
      </c>
      <c r="E286" s="66" t="s">
        <v>724</v>
      </c>
      <c r="F286" t="s">
        <v>1074</v>
      </c>
      <c r="G286" s="364">
        <v>-1091358.0050140005</v>
      </c>
      <c r="H286" t="s">
        <v>2580</v>
      </c>
      <c r="K286" s="415">
        <v>280</v>
      </c>
      <c r="L286" s="415">
        <v>321</v>
      </c>
      <c r="M286" s="415"/>
      <c r="N286" s="66" t="s">
        <v>724</v>
      </c>
      <c r="O286" t="s">
        <v>1949</v>
      </c>
      <c r="P286" s="577">
        <v>5142377.91</v>
      </c>
      <c r="Q286" s="577">
        <v>2435751.3199999998</v>
      </c>
      <c r="R286" s="577">
        <v>2654193.6800000002</v>
      </c>
      <c r="S286" s="577">
        <v>543297.02999999991</v>
      </c>
      <c r="T286" s="577">
        <v>14485.11</v>
      </c>
      <c r="U286" s="577">
        <v>47360.43</v>
      </c>
      <c r="V286" s="200"/>
      <c r="W286" s="577">
        <v>538648.34501399996</v>
      </c>
      <c r="X286" s="590">
        <v>5695087.5700000003</v>
      </c>
      <c r="Y286" s="577">
        <v>6233735.9150140006</v>
      </c>
      <c r="Z286" s="577">
        <v>-1091358.0050140005</v>
      </c>
      <c r="AA286" s="375">
        <f t="shared" si="4"/>
        <v>0</v>
      </c>
    </row>
    <row r="287" spans="3:27" ht="15">
      <c r="C287" s="415">
        <v>281</v>
      </c>
      <c r="D287" s="415">
        <v>133</v>
      </c>
      <c r="E287" s="345" t="s">
        <v>1177</v>
      </c>
      <c r="F287" s="346" t="s">
        <v>1189</v>
      </c>
      <c r="G287" s="364"/>
      <c r="H287" t="s">
        <v>2580</v>
      </c>
      <c r="K287" s="415">
        <v>281</v>
      </c>
      <c r="L287" s="415">
        <v>133</v>
      </c>
      <c r="M287" s="415"/>
      <c r="N287" s="66"/>
      <c r="P287" s="577"/>
      <c r="Q287" s="577"/>
      <c r="R287" s="577"/>
      <c r="S287" s="577"/>
      <c r="T287" s="577"/>
      <c r="U287" s="577"/>
      <c r="V287" s="200"/>
      <c r="W287" s="577"/>
      <c r="X287" s="590"/>
      <c r="Y287" s="577"/>
      <c r="Z287" s="577"/>
      <c r="AA287" s="375">
        <f t="shared" si="4"/>
        <v>0</v>
      </c>
    </row>
    <row r="288" spans="3:27" ht="15">
      <c r="C288" s="415">
        <v>282</v>
      </c>
      <c r="D288" s="415">
        <v>198</v>
      </c>
      <c r="E288" s="66" t="s">
        <v>509</v>
      </c>
      <c r="F288" t="s">
        <v>984</v>
      </c>
      <c r="G288" s="364">
        <v>-3705223.755512543</v>
      </c>
      <c r="H288" t="s">
        <v>2580</v>
      </c>
      <c r="K288" s="415">
        <v>282</v>
      </c>
      <c r="L288" s="415">
        <v>198</v>
      </c>
      <c r="M288" s="415"/>
      <c r="N288" s="66" t="s">
        <v>509</v>
      </c>
      <c r="O288" t="s">
        <v>1837</v>
      </c>
      <c r="P288" s="577">
        <v>19663030.539999999</v>
      </c>
      <c r="Q288" s="577">
        <v>9222598.1513631139</v>
      </c>
      <c r="R288" s="577">
        <v>11617389.079036981</v>
      </c>
      <c r="S288" s="577">
        <v>395524.66631447687</v>
      </c>
      <c r="T288" s="577">
        <v>392386.0025472726</v>
      </c>
      <c r="U288" s="577">
        <v>43311.390738155431</v>
      </c>
      <c r="V288" s="200"/>
      <c r="W288" s="577">
        <v>1697045.0055125465</v>
      </c>
      <c r="X288" s="590">
        <v>21671209.289999995</v>
      </c>
      <c r="Y288" s="577">
        <v>23368254.295512542</v>
      </c>
      <c r="Z288" s="577">
        <v>-3705223.755512543</v>
      </c>
      <c r="AA288" s="375">
        <f t="shared" si="4"/>
        <v>0</v>
      </c>
    </row>
    <row r="289" spans="3:27" ht="15">
      <c r="C289" s="415">
        <v>283</v>
      </c>
      <c r="D289" s="415">
        <v>82</v>
      </c>
      <c r="E289" s="66" t="s">
        <v>309</v>
      </c>
      <c r="F289" t="s">
        <v>892</v>
      </c>
      <c r="G289" s="364">
        <v>-217140.99762099999</v>
      </c>
      <c r="H289" t="s">
        <v>2580</v>
      </c>
      <c r="K289" s="415">
        <v>283</v>
      </c>
      <c r="L289" s="415">
        <v>82</v>
      </c>
      <c r="M289" s="415"/>
      <c r="N289" s="66" t="s">
        <v>309</v>
      </c>
      <c r="O289" t="s">
        <v>1734</v>
      </c>
      <c r="P289" s="577">
        <v>130495</v>
      </c>
      <c r="Q289" s="577">
        <v>99985.22</v>
      </c>
      <c r="R289" s="577">
        <v>162220.28</v>
      </c>
      <c r="S289" s="577">
        <v>0</v>
      </c>
      <c r="T289" s="577">
        <v>4446.91</v>
      </c>
      <c r="U289" s="577">
        <v>0</v>
      </c>
      <c r="V289" s="200"/>
      <c r="W289" s="577">
        <v>80983.587620999999</v>
      </c>
      <c r="X289" s="590">
        <v>266652.40999999997</v>
      </c>
      <c r="Y289" s="577">
        <v>347635.99762099999</v>
      </c>
      <c r="Z289" s="577">
        <v>-217140.99762099999</v>
      </c>
      <c r="AA289" s="375">
        <f t="shared" si="4"/>
        <v>0</v>
      </c>
    </row>
    <row r="290" spans="3:27" ht="15">
      <c r="C290" s="415">
        <v>284</v>
      </c>
      <c r="D290" s="415">
        <v>109</v>
      </c>
      <c r="E290" s="66" t="s">
        <v>361</v>
      </c>
      <c r="F290" t="s">
        <v>918</v>
      </c>
      <c r="G290" s="364">
        <v>-585030.06518799998</v>
      </c>
      <c r="H290" t="s">
        <v>2580</v>
      </c>
      <c r="K290" s="415">
        <v>284</v>
      </c>
      <c r="L290" s="415">
        <v>109</v>
      </c>
      <c r="M290" s="415"/>
      <c r="N290" s="66" t="s">
        <v>361</v>
      </c>
      <c r="O290" t="s">
        <v>1761</v>
      </c>
      <c r="P290" s="577">
        <v>2168604.33</v>
      </c>
      <c r="Q290" s="577">
        <v>849377.24</v>
      </c>
      <c r="R290" s="577">
        <v>1549059.56</v>
      </c>
      <c r="S290" s="577">
        <v>60290.6</v>
      </c>
      <c r="T290" s="577">
        <v>17107.95</v>
      </c>
      <c r="U290" s="577">
        <v>0</v>
      </c>
      <c r="V290" s="200"/>
      <c r="W290" s="577">
        <v>277799.04518800002</v>
      </c>
      <c r="X290" s="590">
        <v>2475835.35</v>
      </c>
      <c r="Y290" s="577">
        <v>2753634.3951880001</v>
      </c>
      <c r="Z290" s="577">
        <v>-585030.06518799998</v>
      </c>
      <c r="AA290" s="375">
        <f t="shared" si="4"/>
        <v>0</v>
      </c>
    </row>
    <row r="291" spans="3:27" ht="15">
      <c r="C291" s="415">
        <v>285</v>
      </c>
      <c r="D291" s="415">
        <v>303</v>
      </c>
      <c r="E291" s="66" t="s">
        <v>689</v>
      </c>
      <c r="F291" t="s">
        <v>1060</v>
      </c>
      <c r="G291" s="364">
        <v>-81159.165940999985</v>
      </c>
      <c r="H291" t="s">
        <v>2580</v>
      </c>
      <c r="K291" s="415">
        <v>285</v>
      </c>
      <c r="L291" s="415">
        <v>303</v>
      </c>
      <c r="M291" s="415"/>
      <c r="N291" s="66" t="s">
        <v>689</v>
      </c>
      <c r="O291" t="s">
        <v>1931</v>
      </c>
      <c r="P291" s="577">
        <v>182086.32</v>
      </c>
      <c r="Q291" s="577">
        <v>122847.13</v>
      </c>
      <c r="R291" s="577">
        <v>88268.06</v>
      </c>
      <c r="S291" s="577">
        <v>12312.27</v>
      </c>
      <c r="T291" s="577">
        <v>8450</v>
      </c>
      <c r="U291" s="577">
        <v>0</v>
      </c>
      <c r="V291" s="200"/>
      <c r="W291" s="577">
        <v>31368.025941000004</v>
      </c>
      <c r="X291" s="590">
        <v>231877.46</v>
      </c>
      <c r="Y291" s="577">
        <v>263245.48594099999</v>
      </c>
      <c r="Z291" s="577">
        <v>-81159.165940999985</v>
      </c>
      <c r="AA291" s="375">
        <f t="shared" si="4"/>
        <v>0</v>
      </c>
    </row>
    <row r="292" spans="3:27" ht="15">
      <c r="C292" s="415">
        <v>286</v>
      </c>
      <c r="D292" s="415">
        <v>281</v>
      </c>
      <c r="E292" s="66" t="s">
        <v>654</v>
      </c>
      <c r="F292" t="s">
        <v>1044</v>
      </c>
      <c r="G292" s="364">
        <v>-230724.41703999997</v>
      </c>
      <c r="H292" t="s">
        <v>2580</v>
      </c>
      <c r="K292" s="415">
        <v>286</v>
      </c>
      <c r="L292" s="415">
        <v>281</v>
      </c>
      <c r="M292" s="415"/>
      <c r="N292" s="66" t="s">
        <v>654</v>
      </c>
      <c r="O292" t="s">
        <v>1911</v>
      </c>
      <c r="P292" s="577">
        <v>757934.73</v>
      </c>
      <c r="Q292" s="577">
        <v>375289.61</v>
      </c>
      <c r="R292" s="577">
        <v>484756.91</v>
      </c>
      <c r="S292" s="577">
        <v>4162.2299999999996</v>
      </c>
      <c r="T292" s="577">
        <v>26690.760000000002</v>
      </c>
      <c r="U292" s="577">
        <v>0</v>
      </c>
      <c r="V292" s="200"/>
      <c r="W292" s="577">
        <v>97759.637039999987</v>
      </c>
      <c r="X292" s="590">
        <v>890899.51</v>
      </c>
      <c r="Y292" s="577">
        <v>988659.14703999995</v>
      </c>
      <c r="Z292" s="577">
        <v>-230724.41703999997</v>
      </c>
      <c r="AA292" s="375">
        <f t="shared" si="4"/>
        <v>0</v>
      </c>
    </row>
    <row r="293" spans="3:27" ht="15">
      <c r="C293" s="415">
        <v>287</v>
      </c>
      <c r="D293" s="415">
        <v>136</v>
      </c>
      <c r="E293" s="66" t="s">
        <v>388</v>
      </c>
      <c r="F293" t="s">
        <v>930</v>
      </c>
      <c r="G293" s="364">
        <v>-212820.20634</v>
      </c>
      <c r="H293" t="s">
        <v>2580</v>
      </c>
      <c r="K293" s="415">
        <v>287</v>
      </c>
      <c r="L293" s="415">
        <v>136</v>
      </c>
      <c r="M293" s="415"/>
      <c r="N293" s="66" t="s">
        <v>388</v>
      </c>
      <c r="O293" t="s">
        <v>1777</v>
      </c>
      <c r="P293" s="577">
        <v>163044.66</v>
      </c>
      <c r="Q293" s="577">
        <v>81123.31</v>
      </c>
      <c r="R293" s="577">
        <v>219127.8</v>
      </c>
      <c r="S293" s="577">
        <v>2079.02</v>
      </c>
      <c r="T293" s="577">
        <v>7424.74</v>
      </c>
      <c r="U293" s="577">
        <v>2893.37</v>
      </c>
      <c r="V293" s="200"/>
      <c r="W293" s="577">
        <v>63216.626339999995</v>
      </c>
      <c r="X293" s="590">
        <v>312648.24</v>
      </c>
      <c r="Y293" s="577">
        <v>375864.86634000001</v>
      </c>
      <c r="Z293" s="577">
        <v>-212820.20634</v>
      </c>
      <c r="AA293" s="375">
        <f t="shared" si="4"/>
        <v>0</v>
      </c>
    </row>
    <row r="294" spans="3:27" ht="15">
      <c r="C294" s="415">
        <v>288</v>
      </c>
      <c r="D294" s="415">
        <v>157</v>
      </c>
      <c r="E294" s="66" t="s">
        <v>430</v>
      </c>
      <c r="F294" t="s">
        <v>945</v>
      </c>
      <c r="G294" s="364">
        <v>-57717.387605999946</v>
      </c>
      <c r="H294" t="s">
        <v>2580</v>
      </c>
      <c r="K294" s="415">
        <v>288</v>
      </c>
      <c r="L294" s="415">
        <v>157</v>
      </c>
      <c r="M294" s="415"/>
      <c r="N294" s="66" t="s">
        <v>430</v>
      </c>
      <c r="O294" t="s">
        <v>1798</v>
      </c>
      <c r="P294" s="577">
        <v>581214.4</v>
      </c>
      <c r="Q294" s="577">
        <v>326478.73</v>
      </c>
      <c r="R294" s="577">
        <v>212301</v>
      </c>
      <c r="S294" s="577">
        <v>53979.09</v>
      </c>
      <c r="T294" s="577">
        <v>0</v>
      </c>
      <c r="U294" s="577">
        <v>0</v>
      </c>
      <c r="V294" s="200"/>
      <c r="W294" s="577">
        <v>46172.967605999991</v>
      </c>
      <c r="X294" s="590">
        <v>592758.81999999995</v>
      </c>
      <c r="Y294" s="577">
        <v>638931.78760599997</v>
      </c>
      <c r="Z294" s="577">
        <v>-57717.387605999946</v>
      </c>
      <c r="AA294" s="375">
        <f t="shared" si="4"/>
        <v>0</v>
      </c>
    </row>
    <row r="295" spans="3:27" ht="15">
      <c r="C295" s="415">
        <v>289</v>
      </c>
      <c r="D295" s="415">
        <v>184</v>
      </c>
      <c r="E295" s="66" t="s">
        <v>484</v>
      </c>
      <c r="F295" t="s">
        <v>971</v>
      </c>
      <c r="G295" s="364">
        <v>-153060.10005000012</v>
      </c>
      <c r="H295" t="s">
        <v>2580</v>
      </c>
      <c r="K295" s="415">
        <v>289</v>
      </c>
      <c r="L295" s="415">
        <v>184</v>
      </c>
      <c r="M295" s="415"/>
      <c r="N295" s="66" t="s">
        <v>484</v>
      </c>
      <c r="O295" t="s">
        <v>1824</v>
      </c>
      <c r="P295" s="577">
        <v>672840.84</v>
      </c>
      <c r="Q295" s="577">
        <v>263576.04000000004</v>
      </c>
      <c r="R295" s="577">
        <v>397875.62</v>
      </c>
      <c r="S295" s="577">
        <v>27328.78</v>
      </c>
      <c r="T295" s="577">
        <v>44377.979999999974</v>
      </c>
      <c r="U295" s="577">
        <v>0</v>
      </c>
      <c r="V295" s="498"/>
      <c r="W295" s="577">
        <v>92742.520050000006</v>
      </c>
      <c r="X295" s="590">
        <v>733158.42</v>
      </c>
      <c r="Y295" s="577">
        <v>825900.94005000009</v>
      </c>
      <c r="Z295" s="577">
        <v>-153060.10005000012</v>
      </c>
      <c r="AA295" s="375">
        <f t="shared" si="4"/>
        <v>0</v>
      </c>
    </row>
    <row r="296" spans="3:27" ht="15">
      <c r="C296" s="415">
        <v>290</v>
      </c>
      <c r="D296" s="415">
        <v>322</v>
      </c>
      <c r="E296" s="66" t="s">
        <v>726</v>
      </c>
      <c r="F296" t="s">
        <v>1075</v>
      </c>
      <c r="G296" s="364">
        <v>102410.75331569556</v>
      </c>
      <c r="H296" t="s">
        <v>2580</v>
      </c>
      <c r="K296" s="415">
        <v>290</v>
      </c>
      <c r="L296" s="415">
        <v>322</v>
      </c>
      <c r="M296" s="415"/>
      <c r="N296" s="66" t="s">
        <v>726</v>
      </c>
      <c r="O296" t="s">
        <v>1950</v>
      </c>
      <c r="P296" s="577">
        <v>3525018.48</v>
      </c>
      <c r="Q296" s="577">
        <v>1377615.2209660509</v>
      </c>
      <c r="R296" s="577">
        <v>1626225.633307857</v>
      </c>
      <c r="S296" s="577">
        <v>35039.173229432578</v>
      </c>
      <c r="T296" s="577">
        <v>17573.142496659566</v>
      </c>
      <c r="U296" s="577">
        <v>0</v>
      </c>
      <c r="V296" s="200"/>
      <c r="W296" s="577">
        <v>366154.55668430432</v>
      </c>
      <c r="X296" s="590">
        <v>3056453.17</v>
      </c>
      <c r="Y296" s="577">
        <v>3422607.7266843044</v>
      </c>
      <c r="Z296" s="577">
        <v>102410.75331569556</v>
      </c>
      <c r="AA296" s="375">
        <f t="shared" si="4"/>
        <v>0</v>
      </c>
    </row>
    <row r="297" spans="3:27" ht="15">
      <c r="C297" s="415">
        <v>291</v>
      </c>
      <c r="D297" s="415">
        <v>288</v>
      </c>
      <c r="E297" s="66" t="s">
        <v>664</v>
      </c>
      <c r="F297" t="s">
        <v>1049</v>
      </c>
      <c r="G297" s="364">
        <v>-123868.25917499996</v>
      </c>
      <c r="H297" t="s">
        <v>2580</v>
      </c>
      <c r="K297" s="415">
        <v>291</v>
      </c>
      <c r="L297" s="415">
        <v>288</v>
      </c>
      <c r="M297" s="415"/>
      <c r="N297" s="66" t="s">
        <v>664</v>
      </c>
      <c r="O297" t="s">
        <v>1917</v>
      </c>
      <c r="P297" s="577">
        <v>159856.64000000001</v>
      </c>
      <c r="Q297" s="577">
        <v>121307.99</v>
      </c>
      <c r="R297" s="577">
        <v>116132.38</v>
      </c>
      <c r="S297" s="577">
        <v>5841.02</v>
      </c>
      <c r="T297" s="577">
        <v>930.05</v>
      </c>
      <c r="U297" s="577">
        <v>0</v>
      </c>
      <c r="V297" s="200"/>
      <c r="W297" s="577">
        <v>39513.459175000004</v>
      </c>
      <c r="X297" s="590">
        <v>244211.43999999997</v>
      </c>
      <c r="Y297" s="577">
        <v>283724.89917499997</v>
      </c>
      <c r="Z297" s="577">
        <v>-123868.25917499996</v>
      </c>
      <c r="AA297" s="375">
        <f t="shared" si="4"/>
        <v>0</v>
      </c>
    </row>
    <row r="298" spans="3:27" ht="15">
      <c r="C298" s="415">
        <v>292</v>
      </c>
      <c r="D298" s="415">
        <v>44</v>
      </c>
      <c r="E298" s="66" t="s">
        <v>235</v>
      </c>
      <c r="F298" t="s">
        <v>858</v>
      </c>
      <c r="G298" s="364">
        <v>-128892.46140999993</v>
      </c>
      <c r="H298" t="s">
        <v>2580</v>
      </c>
      <c r="K298" s="415">
        <v>292</v>
      </c>
      <c r="L298" s="415">
        <v>44</v>
      </c>
      <c r="M298" s="415"/>
      <c r="N298" s="66" t="s">
        <v>235</v>
      </c>
      <c r="O298" t="s">
        <v>1697</v>
      </c>
      <c r="P298" s="577">
        <v>465972.17</v>
      </c>
      <c r="Q298" s="577">
        <v>326968.17</v>
      </c>
      <c r="R298" s="577">
        <v>208013.2</v>
      </c>
      <c r="S298" s="577">
        <v>17101.53</v>
      </c>
      <c r="T298" s="577">
        <v>1781.57</v>
      </c>
      <c r="U298" s="577">
        <v>0</v>
      </c>
      <c r="V298" s="497"/>
      <c r="W298" s="577">
        <v>41000.161410000001</v>
      </c>
      <c r="X298" s="590">
        <v>553864.47</v>
      </c>
      <c r="Y298" s="577">
        <v>594864.63140999991</v>
      </c>
      <c r="Z298" s="577">
        <v>-128892.46140999993</v>
      </c>
      <c r="AA298" s="375">
        <f t="shared" si="4"/>
        <v>0</v>
      </c>
    </row>
    <row r="299" spans="3:27" ht="15">
      <c r="C299" s="415">
        <v>293</v>
      </c>
      <c r="D299" s="415">
        <v>143</v>
      </c>
      <c r="E299" s="414" t="s">
        <v>402</v>
      </c>
      <c r="F299" s="340" t="s">
        <v>403</v>
      </c>
      <c r="G299" s="364">
        <v>-131489.94</v>
      </c>
      <c r="H299" t="s">
        <v>2580</v>
      </c>
      <c r="K299" s="415">
        <v>293</v>
      </c>
      <c r="L299" s="415">
        <v>143</v>
      </c>
      <c r="M299" s="415"/>
      <c r="N299" s="414" t="s">
        <v>402</v>
      </c>
      <c r="O299" s="79" t="s">
        <v>2316</v>
      </c>
      <c r="P299" s="578">
        <v>0</v>
      </c>
      <c r="Q299" s="578">
        <v>65400.15</v>
      </c>
      <c r="R299" s="578">
        <v>60333.93</v>
      </c>
      <c r="S299" s="578"/>
      <c r="T299" s="578"/>
      <c r="U299" s="578"/>
      <c r="V299" s="497"/>
      <c r="W299" s="578">
        <v>5755.86</v>
      </c>
      <c r="X299" s="578">
        <v>125734.08</v>
      </c>
      <c r="Y299" s="578">
        <v>131489.94</v>
      </c>
      <c r="Z299" s="578">
        <v>-131489.94</v>
      </c>
      <c r="AA299" s="375">
        <f t="shared" si="4"/>
        <v>0</v>
      </c>
    </row>
    <row r="300" spans="3:27" ht="15">
      <c r="C300" s="415">
        <v>294</v>
      </c>
      <c r="D300" s="415">
        <v>106</v>
      </c>
      <c r="E300" s="66" t="s">
        <v>356</v>
      </c>
      <c r="F300" s="525" t="s">
        <v>915</v>
      </c>
      <c r="G300" s="364">
        <v>76268.708944454324</v>
      </c>
      <c r="H300" t="s">
        <v>2580</v>
      </c>
      <c r="K300" s="415">
        <v>294</v>
      </c>
      <c r="L300" s="415">
        <v>106</v>
      </c>
      <c r="M300" s="415"/>
      <c r="N300" s="66" t="s">
        <v>356</v>
      </c>
      <c r="O300" t="s">
        <v>1758</v>
      </c>
      <c r="P300" s="577">
        <v>2234921.0099999998</v>
      </c>
      <c r="Q300" s="577">
        <v>685615.42489945784</v>
      </c>
      <c r="R300" s="577">
        <v>1034344.8095836187</v>
      </c>
      <c r="S300" s="577">
        <v>44891.886727798978</v>
      </c>
      <c r="T300" s="577">
        <v>154049.36878912456</v>
      </c>
      <c r="U300" s="577">
        <v>0</v>
      </c>
      <c r="V300" s="497"/>
      <c r="W300" s="577">
        <v>239750.8110555454</v>
      </c>
      <c r="X300" s="590">
        <v>1918901.49</v>
      </c>
      <c r="Y300" s="577">
        <v>2158652.3010555455</v>
      </c>
      <c r="Z300" s="577">
        <v>76268.708944454324</v>
      </c>
      <c r="AA300" s="375">
        <f t="shared" si="4"/>
        <v>0</v>
      </c>
    </row>
    <row r="301" spans="3:27" ht="15">
      <c r="C301" s="415">
        <v>295</v>
      </c>
      <c r="D301" s="415">
        <v>276</v>
      </c>
      <c r="E301" s="66" t="s">
        <v>644</v>
      </c>
      <c r="F301" t="s">
        <v>1039</v>
      </c>
      <c r="G301" s="364">
        <v>-528823.64828500059</v>
      </c>
      <c r="H301" t="s">
        <v>2580</v>
      </c>
      <c r="K301" s="415">
        <v>295</v>
      </c>
      <c r="L301" s="415">
        <v>276</v>
      </c>
      <c r="M301" s="415"/>
      <c r="N301" s="66" t="s">
        <v>644</v>
      </c>
      <c r="O301" t="s">
        <v>1906</v>
      </c>
      <c r="P301" s="577">
        <v>2900394.78</v>
      </c>
      <c r="Q301" s="577">
        <v>1169580.28</v>
      </c>
      <c r="R301" s="577">
        <v>1867503.29</v>
      </c>
      <c r="S301" s="577">
        <v>55351.159999999996</v>
      </c>
      <c r="T301" s="577">
        <v>15917.02</v>
      </c>
      <c r="U301" s="577">
        <v>0</v>
      </c>
      <c r="V301" s="497"/>
      <c r="W301" s="577">
        <v>320866.67828500003</v>
      </c>
      <c r="X301" s="590">
        <v>3108351.7500000005</v>
      </c>
      <c r="Y301" s="577">
        <v>3429218.4282850004</v>
      </c>
      <c r="Z301" s="577">
        <v>-528823.64828500059</v>
      </c>
      <c r="AA301" s="375">
        <f t="shared" si="4"/>
        <v>0</v>
      </c>
    </row>
    <row r="302" spans="3:27" ht="15">
      <c r="C302" s="415">
        <v>296</v>
      </c>
      <c r="D302" s="415">
        <v>314</v>
      </c>
      <c r="E302" s="66" t="s">
        <v>711</v>
      </c>
      <c r="F302" s="525" t="s">
        <v>1068</v>
      </c>
      <c r="G302" s="364">
        <v>-136552.58688199997</v>
      </c>
      <c r="H302" t="s">
        <v>2580</v>
      </c>
      <c r="K302" s="415">
        <v>296</v>
      </c>
      <c r="L302" s="415">
        <v>314</v>
      </c>
      <c r="M302" s="415"/>
      <c r="N302" s="66" t="s">
        <v>711</v>
      </c>
      <c r="O302" t="s">
        <v>1942</v>
      </c>
      <c r="P302" s="577">
        <v>620629.06000000006</v>
      </c>
      <c r="Q302" s="577">
        <v>215323.56000000003</v>
      </c>
      <c r="R302" s="577">
        <v>379857.58</v>
      </c>
      <c r="S302" s="577">
        <v>28022.36</v>
      </c>
      <c r="T302" s="577">
        <v>9672.7200000000012</v>
      </c>
      <c r="U302" s="577">
        <v>0</v>
      </c>
      <c r="V302" s="497"/>
      <c r="W302" s="577">
        <v>124305.42688200001</v>
      </c>
      <c r="X302" s="590">
        <v>632876.22</v>
      </c>
      <c r="Y302" s="577">
        <v>757181.64688200003</v>
      </c>
      <c r="Z302" s="577">
        <v>-136552.58688199997</v>
      </c>
      <c r="AA302" s="375">
        <f t="shared" si="4"/>
        <v>0</v>
      </c>
    </row>
    <row r="303" spans="3:27" ht="15">
      <c r="C303" s="415">
        <v>297</v>
      </c>
      <c r="D303" s="415">
        <v>200</v>
      </c>
      <c r="E303" s="66" t="s">
        <v>513</v>
      </c>
      <c r="F303" t="s">
        <v>986</v>
      </c>
      <c r="G303" s="364">
        <v>-642276.34122369485</v>
      </c>
      <c r="H303" t="s">
        <v>2580</v>
      </c>
      <c r="K303" s="415">
        <v>297</v>
      </c>
      <c r="L303" s="415">
        <v>200</v>
      </c>
      <c r="M303" s="415"/>
      <c r="N303" s="66" t="s">
        <v>513</v>
      </c>
      <c r="O303" t="s">
        <v>1839</v>
      </c>
      <c r="P303" s="577">
        <v>3144774.05</v>
      </c>
      <c r="Q303" s="577">
        <v>1372036.8334780619</v>
      </c>
      <c r="R303" s="577">
        <v>1822305.187958946</v>
      </c>
      <c r="S303" s="577">
        <v>123976.8322387589</v>
      </c>
      <c r="T303" s="577">
        <v>99956.973306788394</v>
      </c>
      <c r="U303" s="577">
        <v>29712.763017444788</v>
      </c>
      <c r="V303" s="200"/>
      <c r="W303" s="577">
        <v>339061.80122369452</v>
      </c>
      <c r="X303" s="590">
        <v>3447988.5900000003</v>
      </c>
      <c r="Y303" s="577">
        <v>3787050.3912236947</v>
      </c>
      <c r="Z303" s="577">
        <v>-642276.34122369485</v>
      </c>
      <c r="AA303" s="375">
        <f t="shared" si="4"/>
        <v>0</v>
      </c>
    </row>
    <row r="304" spans="3:27" ht="15">
      <c r="C304" s="415">
        <v>298</v>
      </c>
      <c r="D304" s="415">
        <v>265</v>
      </c>
      <c r="E304" s="66" t="s">
        <v>624</v>
      </c>
      <c r="F304" t="s">
        <v>1030</v>
      </c>
      <c r="G304" s="364">
        <v>-292817.66842499998</v>
      </c>
      <c r="H304" t="s">
        <v>2580</v>
      </c>
      <c r="K304" s="415">
        <v>298</v>
      </c>
      <c r="L304" s="415">
        <v>265</v>
      </c>
      <c r="M304" s="415"/>
      <c r="N304" s="66" t="s">
        <v>624</v>
      </c>
      <c r="O304" t="s">
        <v>1895</v>
      </c>
      <c r="P304" s="577">
        <v>285040.31</v>
      </c>
      <c r="Q304" s="577">
        <v>160115.54999999999</v>
      </c>
      <c r="R304" s="577">
        <v>272286.64</v>
      </c>
      <c r="S304" s="577">
        <v>15791.810000000001</v>
      </c>
      <c r="T304" s="577">
        <v>48132.76</v>
      </c>
      <c r="U304" s="577">
        <v>0</v>
      </c>
      <c r="V304" s="200"/>
      <c r="W304" s="577">
        <v>81531.218424999999</v>
      </c>
      <c r="X304" s="590">
        <v>496326.76</v>
      </c>
      <c r="Y304" s="577">
        <v>577857.97842499998</v>
      </c>
      <c r="Z304" s="577">
        <v>-292817.66842499998</v>
      </c>
      <c r="AA304" s="375">
        <f t="shared" si="4"/>
        <v>0</v>
      </c>
    </row>
    <row r="305" spans="3:27" ht="15">
      <c r="C305" s="415">
        <v>299</v>
      </c>
      <c r="D305" s="415">
        <v>29</v>
      </c>
      <c r="E305" s="66" t="s">
        <v>213</v>
      </c>
      <c r="F305" t="s">
        <v>849</v>
      </c>
      <c r="G305" s="364">
        <v>239247.00141200051</v>
      </c>
      <c r="H305" t="s">
        <v>2580</v>
      </c>
      <c r="K305" s="415">
        <v>299</v>
      </c>
      <c r="L305" s="415">
        <v>29</v>
      </c>
      <c r="M305" s="415"/>
      <c r="N305" s="66" t="s">
        <v>213</v>
      </c>
      <c r="O305" t="s">
        <v>1685</v>
      </c>
      <c r="P305" s="577">
        <v>13147806.66</v>
      </c>
      <c r="Q305" s="577">
        <v>5024769.92</v>
      </c>
      <c r="R305" s="577">
        <v>6166196.6099999994</v>
      </c>
      <c r="S305" s="577">
        <v>346783.68000000005</v>
      </c>
      <c r="T305" s="577">
        <v>309534.82</v>
      </c>
      <c r="U305" s="577">
        <v>32439.35</v>
      </c>
      <c r="V305" s="200"/>
      <c r="W305" s="577">
        <v>1028835.2785879999</v>
      </c>
      <c r="X305" s="590">
        <v>11879724.379999999</v>
      </c>
      <c r="Y305" s="577">
        <v>12908559.658588</v>
      </c>
      <c r="Z305" s="577">
        <v>239247.00141200051</v>
      </c>
      <c r="AA305" s="375">
        <f t="shared" si="4"/>
        <v>0</v>
      </c>
    </row>
    <row r="306" spans="3:27" ht="15">
      <c r="C306" s="415">
        <v>300</v>
      </c>
      <c r="D306" s="415">
        <v>102</v>
      </c>
      <c r="E306" s="66" t="s">
        <v>348</v>
      </c>
      <c r="F306" t="s">
        <v>911</v>
      </c>
      <c r="G306" s="364">
        <v>-185534.65973125794</v>
      </c>
      <c r="H306" t="s">
        <v>2580</v>
      </c>
      <c r="K306" s="415">
        <v>300</v>
      </c>
      <c r="L306" s="415">
        <v>102</v>
      </c>
      <c r="M306" s="415"/>
      <c r="N306" s="66" t="s">
        <v>348</v>
      </c>
      <c r="O306" t="s">
        <v>1754</v>
      </c>
      <c r="P306" s="577">
        <v>796455.3</v>
      </c>
      <c r="Q306" s="577">
        <v>240168.81207924453</v>
      </c>
      <c r="R306" s="577">
        <v>553728.35640815238</v>
      </c>
      <c r="S306" s="577">
        <v>30599.024222527682</v>
      </c>
      <c r="T306" s="577">
        <v>5965.567290075428</v>
      </c>
      <c r="U306" s="577">
        <v>0</v>
      </c>
      <c r="V306" s="200"/>
      <c r="W306" s="577">
        <v>151528.19973125792</v>
      </c>
      <c r="X306" s="590">
        <v>830461.76</v>
      </c>
      <c r="Y306" s="577">
        <v>981989.95973125799</v>
      </c>
      <c r="Z306" s="577">
        <v>-185534.65973125794</v>
      </c>
      <c r="AA306" s="375">
        <f t="shared" si="4"/>
        <v>0</v>
      </c>
    </row>
    <row r="307" spans="3:27" ht="15">
      <c r="C307" s="415">
        <v>301</v>
      </c>
      <c r="D307" s="415">
        <v>283</v>
      </c>
      <c r="E307" s="347" t="s">
        <v>1503</v>
      </c>
      <c r="F307" s="346" t="s">
        <v>1502</v>
      </c>
      <c r="G307" s="364"/>
      <c r="H307" t="s">
        <v>2580</v>
      </c>
      <c r="K307" s="415">
        <v>301</v>
      </c>
      <c r="L307" s="415">
        <v>283</v>
      </c>
      <c r="M307" s="415"/>
      <c r="N307" s="66"/>
      <c r="P307" s="577"/>
      <c r="Q307" s="577"/>
      <c r="R307" s="577"/>
      <c r="S307" s="577"/>
      <c r="T307" s="577"/>
      <c r="U307" s="577"/>
      <c r="V307" s="200"/>
      <c r="W307" s="577"/>
      <c r="X307" s="590"/>
      <c r="Y307" s="577"/>
      <c r="Z307" s="577"/>
      <c r="AA307" s="375">
        <f t="shared" si="4"/>
        <v>0</v>
      </c>
    </row>
    <row r="308" spans="3:27" ht="15">
      <c r="C308" s="415">
        <v>302</v>
      </c>
      <c r="D308" s="415">
        <v>284</v>
      </c>
      <c r="E308" s="66" t="s">
        <v>656</v>
      </c>
      <c r="F308" t="s">
        <v>1045</v>
      </c>
      <c r="G308" s="364">
        <v>-200141.43624900002</v>
      </c>
      <c r="H308" t="s">
        <v>2580</v>
      </c>
      <c r="K308" s="415">
        <v>302</v>
      </c>
      <c r="L308" s="415">
        <v>284</v>
      </c>
      <c r="M308" s="415"/>
      <c r="N308" s="66" t="s">
        <v>656</v>
      </c>
      <c r="O308" t="s">
        <v>1913</v>
      </c>
      <c r="P308" s="577">
        <v>206425.24</v>
      </c>
      <c r="Q308" s="577">
        <v>113615.61</v>
      </c>
      <c r="R308" s="577">
        <v>201144.33</v>
      </c>
      <c r="S308" s="577">
        <v>1386.78</v>
      </c>
      <c r="T308" s="577">
        <v>77</v>
      </c>
      <c r="U308" s="577">
        <v>0</v>
      </c>
      <c r="V308" s="200"/>
      <c r="W308" s="577">
        <v>90342.956248999995</v>
      </c>
      <c r="X308" s="590">
        <v>316223.72000000003</v>
      </c>
      <c r="Y308" s="577">
        <v>406566.67624900001</v>
      </c>
      <c r="Z308" s="577">
        <v>-200141.43624900002</v>
      </c>
      <c r="AA308" s="375">
        <f t="shared" si="4"/>
        <v>0</v>
      </c>
    </row>
    <row r="309" spans="3:27" ht="15">
      <c r="C309" s="415">
        <v>303</v>
      </c>
      <c r="D309" s="415">
        <v>66</v>
      </c>
      <c r="E309" s="66" t="s">
        <v>277</v>
      </c>
      <c r="F309" t="s">
        <v>878</v>
      </c>
      <c r="G309" s="364">
        <v>-233634.90019500023</v>
      </c>
      <c r="H309" t="s">
        <v>2580</v>
      </c>
      <c r="K309" s="415">
        <v>303</v>
      </c>
      <c r="L309" s="415">
        <v>66</v>
      </c>
      <c r="M309" s="415"/>
      <c r="N309" s="66" t="s">
        <v>277</v>
      </c>
      <c r="O309" t="s">
        <v>1718</v>
      </c>
      <c r="P309" s="577">
        <v>2096157.9</v>
      </c>
      <c r="Q309" s="577">
        <v>121714.93</v>
      </c>
      <c r="R309" s="577">
        <v>1875228.55</v>
      </c>
      <c r="S309" s="577">
        <v>23357.23</v>
      </c>
      <c r="T309" s="577">
        <v>12342.709999999981</v>
      </c>
      <c r="U309" s="577">
        <v>0</v>
      </c>
      <c r="V309" s="200"/>
      <c r="W309" s="577">
        <v>297149.38019499998</v>
      </c>
      <c r="X309" s="590">
        <v>2032643.42</v>
      </c>
      <c r="Y309" s="577">
        <v>2329792.8001950001</v>
      </c>
      <c r="Z309" s="577">
        <v>-233634.90019500023</v>
      </c>
      <c r="AA309" s="375">
        <f t="shared" si="4"/>
        <v>0</v>
      </c>
    </row>
    <row r="310" spans="3:27" ht="15">
      <c r="C310" s="415">
        <v>304</v>
      </c>
      <c r="D310" s="415">
        <v>290</v>
      </c>
      <c r="E310" s="66" t="s">
        <v>667</v>
      </c>
      <c r="F310" t="s">
        <v>1050</v>
      </c>
      <c r="G310" s="364">
        <v>-98336.039464000001</v>
      </c>
      <c r="H310" t="s">
        <v>2580</v>
      </c>
      <c r="K310" s="415">
        <v>304</v>
      </c>
      <c r="L310" s="415">
        <v>290</v>
      </c>
      <c r="M310" s="415"/>
      <c r="N310" s="66" t="s">
        <v>667</v>
      </c>
      <c r="O310" t="s">
        <v>1919</v>
      </c>
      <c r="P310" s="577">
        <v>224311.59</v>
      </c>
      <c r="Q310" s="577">
        <v>111673.36</v>
      </c>
      <c r="R310" s="577">
        <v>137351.70000000001</v>
      </c>
      <c r="S310" s="577">
        <v>11527.210000000001</v>
      </c>
      <c r="T310" s="577">
        <v>8341.65</v>
      </c>
      <c r="U310" s="577">
        <v>0</v>
      </c>
      <c r="V310" s="200"/>
      <c r="W310" s="577">
        <v>53753.709464</v>
      </c>
      <c r="X310" s="590">
        <v>268893.92</v>
      </c>
      <c r="Y310" s="577">
        <v>322647.629464</v>
      </c>
      <c r="Z310" s="577">
        <v>-98336.039464000001</v>
      </c>
      <c r="AA310" s="375">
        <f t="shared" si="4"/>
        <v>0</v>
      </c>
    </row>
    <row r="311" spans="3:27" ht="15">
      <c r="C311" s="415">
        <v>305</v>
      </c>
      <c r="D311" s="415">
        <v>286</v>
      </c>
      <c r="E311" s="66" t="s">
        <v>660</v>
      </c>
      <c r="F311" t="s">
        <v>1047</v>
      </c>
      <c r="G311" s="364">
        <v>153794.01324199978</v>
      </c>
      <c r="H311" t="s">
        <v>2580</v>
      </c>
      <c r="K311" s="415">
        <v>305</v>
      </c>
      <c r="L311" s="415">
        <v>286</v>
      </c>
      <c r="M311" s="415"/>
      <c r="N311" s="66" t="s">
        <v>660</v>
      </c>
      <c r="O311" t="s">
        <v>2614</v>
      </c>
      <c r="P311" s="577">
        <v>3914784.36</v>
      </c>
      <c r="Q311" s="577">
        <v>1474689.28</v>
      </c>
      <c r="R311" s="577">
        <v>1706605.89</v>
      </c>
      <c r="S311" s="577">
        <v>116009.14</v>
      </c>
      <c r="T311" s="577">
        <v>32584.11</v>
      </c>
      <c r="U311" s="577">
        <v>14238.68</v>
      </c>
      <c r="V311" s="200"/>
      <c r="W311" s="577">
        <v>416863.24675799999</v>
      </c>
      <c r="X311" s="590">
        <v>3344127.1</v>
      </c>
      <c r="Y311" s="577">
        <v>3760990.3467580001</v>
      </c>
      <c r="Z311" s="577">
        <v>153794.01324199978</v>
      </c>
      <c r="AA311" s="375">
        <f t="shared" si="4"/>
        <v>0</v>
      </c>
    </row>
    <row r="312" spans="3:27" ht="15">
      <c r="C312" s="415">
        <v>306</v>
      </c>
      <c r="D312" s="415">
        <v>326</v>
      </c>
      <c r="E312" s="66" t="s">
        <v>734</v>
      </c>
      <c r="F312" t="s">
        <v>1079</v>
      </c>
      <c r="G312" s="364">
        <v>-254485.57840400003</v>
      </c>
      <c r="H312" t="s">
        <v>2580</v>
      </c>
      <c r="K312" s="415">
        <v>306</v>
      </c>
      <c r="L312" s="415">
        <v>326</v>
      </c>
      <c r="M312" s="415"/>
      <c r="N312" s="66" t="s">
        <v>734</v>
      </c>
      <c r="O312" t="s">
        <v>1954</v>
      </c>
      <c r="P312" s="577">
        <v>2848553.37</v>
      </c>
      <c r="Q312" s="577">
        <v>1218363.1599999999</v>
      </c>
      <c r="R312" s="577">
        <v>1439413.78</v>
      </c>
      <c r="S312" s="577">
        <v>95624.18</v>
      </c>
      <c r="T312" s="577">
        <v>4114.7800000000007</v>
      </c>
      <c r="U312" s="577">
        <v>76786.98</v>
      </c>
      <c r="V312" s="200"/>
      <c r="W312" s="577">
        <v>268736.06840400002</v>
      </c>
      <c r="X312" s="590">
        <v>2834302.88</v>
      </c>
      <c r="Y312" s="577">
        <v>3103038.9484040001</v>
      </c>
      <c r="Z312" s="577">
        <v>-254485.57840400003</v>
      </c>
      <c r="AA312" s="375">
        <f t="shared" si="4"/>
        <v>0</v>
      </c>
    </row>
    <row r="313" spans="3:27" ht="15">
      <c r="C313" s="415">
        <v>307</v>
      </c>
      <c r="D313" s="415">
        <v>68</v>
      </c>
      <c r="E313" s="66" t="s">
        <v>281</v>
      </c>
      <c r="F313" t="s">
        <v>880</v>
      </c>
      <c r="G313" s="364">
        <v>-593330.33327599999</v>
      </c>
      <c r="H313" t="s">
        <v>2580</v>
      </c>
      <c r="K313" s="415">
        <v>307</v>
      </c>
      <c r="L313" s="415">
        <v>68</v>
      </c>
      <c r="M313" s="415"/>
      <c r="N313" s="66" t="s">
        <v>281</v>
      </c>
      <c r="O313" t="s">
        <v>1720</v>
      </c>
      <c r="P313" s="577">
        <v>160599.76999999999</v>
      </c>
      <c r="Q313" s="577">
        <v>320540.02</v>
      </c>
      <c r="R313" s="577">
        <v>341751.69</v>
      </c>
      <c r="S313" s="577">
        <v>0</v>
      </c>
      <c r="T313" s="577">
        <v>16185.28</v>
      </c>
      <c r="U313" s="577">
        <v>0</v>
      </c>
      <c r="V313" s="497"/>
      <c r="W313" s="577">
        <v>75453.113276000004</v>
      </c>
      <c r="X313" s="590">
        <v>678476.99</v>
      </c>
      <c r="Y313" s="577">
        <v>753930.10327600001</v>
      </c>
      <c r="Z313" s="577">
        <v>-593330.33327599999</v>
      </c>
      <c r="AA313" s="375">
        <f t="shared" si="4"/>
        <v>0</v>
      </c>
    </row>
    <row r="314" spans="3:27" ht="15">
      <c r="C314" s="415">
        <v>308</v>
      </c>
      <c r="D314" s="415">
        <v>33</v>
      </c>
      <c r="E314" s="66" t="s">
        <v>220</v>
      </c>
      <c r="F314" t="s">
        <v>852</v>
      </c>
      <c r="G314" s="364">
        <v>-792095.14056599978</v>
      </c>
      <c r="H314" t="s">
        <v>2580</v>
      </c>
      <c r="K314" s="415">
        <v>308</v>
      </c>
      <c r="L314" s="415">
        <v>33</v>
      </c>
      <c r="M314" s="415"/>
      <c r="N314" s="66" t="s">
        <v>220</v>
      </c>
      <c r="O314" t="s">
        <v>1689</v>
      </c>
      <c r="P314" s="577">
        <v>914991.19</v>
      </c>
      <c r="Q314" s="577">
        <v>289109.44</v>
      </c>
      <c r="R314" s="577">
        <v>1181181.1499999999</v>
      </c>
      <c r="S314" s="577">
        <v>22353.399999999998</v>
      </c>
      <c r="T314" s="577">
        <v>9033.3399999999983</v>
      </c>
      <c r="U314" s="577">
        <v>0</v>
      </c>
      <c r="V314" s="497"/>
      <c r="W314" s="577">
        <v>205409.00056599997</v>
      </c>
      <c r="X314" s="590">
        <v>1501677.3299999998</v>
      </c>
      <c r="Y314" s="577">
        <v>1707086.3305659997</v>
      </c>
      <c r="Z314" s="577">
        <v>-792095.14056599978</v>
      </c>
      <c r="AA314" s="375">
        <f t="shared" si="4"/>
        <v>0</v>
      </c>
    </row>
    <row r="315" spans="3:27" ht="15">
      <c r="C315" s="415">
        <v>309</v>
      </c>
      <c r="D315" s="415">
        <v>1</v>
      </c>
      <c r="E315" s="66" t="s">
        <v>163</v>
      </c>
      <c r="F315" t="s">
        <v>828</v>
      </c>
      <c r="G315" s="364">
        <v>-51209.658074999992</v>
      </c>
      <c r="H315" t="s">
        <v>2580</v>
      </c>
      <c r="K315" s="415">
        <v>309</v>
      </c>
      <c r="L315" s="415">
        <v>1</v>
      </c>
      <c r="M315" s="415"/>
      <c r="N315" s="66" t="s">
        <v>163</v>
      </c>
      <c r="O315" t="s">
        <v>1659</v>
      </c>
      <c r="P315" s="577">
        <v>64018.74</v>
      </c>
      <c r="Q315" s="577">
        <v>31273.64</v>
      </c>
      <c r="R315" s="577">
        <v>52972.39</v>
      </c>
      <c r="S315" s="577">
        <v>1764.48</v>
      </c>
      <c r="T315" s="577">
        <v>9326.2800000000007</v>
      </c>
      <c r="U315" s="577">
        <v>0</v>
      </c>
      <c r="V315" s="200"/>
      <c r="W315" s="577">
        <v>19891.608075</v>
      </c>
      <c r="X315" s="590">
        <v>95336.79</v>
      </c>
      <c r="Y315" s="577">
        <v>115228.39807499999</v>
      </c>
      <c r="Z315" s="577">
        <v>-51209.658074999992</v>
      </c>
      <c r="AA315" s="375">
        <f t="shared" si="4"/>
        <v>0</v>
      </c>
    </row>
    <row r="316" spans="3:27" ht="15">
      <c r="C316" s="415">
        <v>310</v>
      </c>
      <c r="D316" s="415">
        <v>54</v>
      </c>
      <c r="E316" s="66" t="s">
        <v>255</v>
      </c>
      <c r="F316" t="s">
        <v>868</v>
      </c>
      <c r="G316" s="364">
        <v>-103377.29196</v>
      </c>
      <c r="H316" t="s">
        <v>2580</v>
      </c>
      <c r="K316" s="415">
        <v>310</v>
      </c>
      <c r="L316" s="415">
        <v>54</v>
      </c>
      <c r="M316" s="415"/>
      <c r="N316" s="66" t="s">
        <v>255</v>
      </c>
      <c r="O316" t="s">
        <v>1707</v>
      </c>
      <c r="P316" s="577">
        <v>280821.86</v>
      </c>
      <c r="Q316" s="577">
        <v>74162.73</v>
      </c>
      <c r="R316" s="577">
        <v>142944.19</v>
      </c>
      <c r="S316" s="577">
        <v>53002.65</v>
      </c>
      <c r="T316" s="577">
        <v>13465.56</v>
      </c>
      <c r="U316" s="577">
        <v>49757.75</v>
      </c>
      <c r="V316" s="200"/>
      <c r="W316" s="577">
        <v>50866.271959999998</v>
      </c>
      <c r="X316" s="590">
        <v>333332.88</v>
      </c>
      <c r="Y316" s="577">
        <v>384199.15195999999</v>
      </c>
      <c r="Z316" s="577">
        <v>-103377.29196</v>
      </c>
      <c r="AA316" s="375">
        <f t="shared" si="4"/>
        <v>0</v>
      </c>
    </row>
    <row r="317" spans="3:27" ht="15">
      <c r="C317" s="415">
        <v>311</v>
      </c>
      <c r="D317" s="415">
        <v>264</v>
      </c>
      <c r="E317" s="66" t="s">
        <v>622</v>
      </c>
      <c r="F317" t="s">
        <v>1029</v>
      </c>
      <c r="G317" s="364">
        <v>-227909.43020000006</v>
      </c>
      <c r="H317" t="s">
        <v>2580</v>
      </c>
      <c r="K317" s="415">
        <v>311</v>
      </c>
      <c r="L317" s="415">
        <v>264</v>
      </c>
      <c r="M317" s="415"/>
      <c r="N317" s="66" t="s">
        <v>622</v>
      </c>
      <c r="O317" t="s">
        <v>1894</v>
      </c>
      <c r="P317" s="577">
        <v>268533.90999999997</v>
      </c>
      <c r="Q317" s="577">
        <v>159099.26</v>
      </c>
      <c r="R317" s="577">
        <v>248126.89</v>
      </c>
      <c r="S317" s="577">
        <v>7844.24</v>
      </c>
      <c r="T317" s="577">
        <v>9654.130000000001</v>
      </c>
      <c r="U317" s="577">
        <v>0</v>
      </c>
      <c r="V317" s="200"/>
      <c r="W317" s="577">
        <v>71718.820200000002</v>
      </c>
      <c r="X317" s="590">
        <v>424724.52</v>
      </c>
      <c r="Y317" s="577">
        <v>496443.34020000004</v>
      </c>
      <c r="Z317" s="577">
        <v>-227909.43020000006</v>
      </c>
      <c r="AA317" s="375">
        <f t="shared" si="4"/>
        <v>0</v>
      </c>
    </row>
    <row r="318" spans="3:27" ht="15">
      <c r="C318" s="415">
        <v>312</v>
      </c>
      <c r="D318" s="415">
        <v>20</v>
      </c>
      <c r="E318" s="66" t="s">
        <v>201</v>
      </c>
      <c r="F318" t="s">
        <v>843</v>
      </c>
      <c r="G318" s="364">
        <v>56723.07016307069</v>
      </c>
      <c r="H318" t="s">
        <v>2580</v>
      </c>
      <c r="K318" s="415">
        <v>312</v>
      </c>
      <c r="L318" s="415">
        <v>20</v>
      </c>
      <c r="M318" s="415"/>
      <c r="N318" s="66" t="s">
        <v>201</v>
      </c>
      <c r="O318" t="s">
        <v>1678</v>
      </c>
      <c r="P318" s="577">
        <v>4095473.89</v>
      </c>
      <c r="Q318" s="577">
        <v>1329177.6574582984</v>
      </c>
      <c r="R318" s="577">
        <v>2277733.6197879855</v>
      </c>
      <c r="S318" s="577">
        <v>80807.920525721507</v>
      </c>
      <c r="T318" s="577">
        <v>38886.49222799424</v>
      </c>
      <c r="U318" s="577">
        <v>0</v>
      </c>
      <c r="V318" s="200"/>
      <c r="W318" s="577">
        <v>312145.1298369295</v>
      </c>
      <c r="X318" s="590">
        <v>3726605.69</v>
      </c>
      <c r="Y318" s="577">
        <v>4038750.8198369294</v>
      </c>
      <c r="Z318" s="577">
        <v>56723.07016307069</v>
      </c>
      <c r="AA318" s="375">
        <f t="shared" si="4"/>
        <v>0</v>
      </c>
    </row>
    <row r="319" spans="3:27" ht="15">
      <c r="C319" s="415">
        <v>313</v>
      </c>
      <c r="D319" s="415">
        <v>255</v>
      </c>
      <c r="E319" s="66" t="s">
        <v>613</v>
      </c>
      <c r="F319" t="s">
        <v>1624</v>
      </c>
      <c r="G319" s="364">
        <v>-535820.96140999999</v>
      </c>
      <c r="H319" t="s">
        <v>2580</v>
      </c>
      <c r="K319" s="415">
        <v>313</v>
      </c>
      <c r="L319" s="415">
        <v>255</v>
      </c>
      <c r="M319" s="415"/>
      <c r="N319" s="66" t="s">
        <v>613</v>
      </c>
      <c r="O319" t="s">
        <v>2615</v>
      </c>
      <c r="P319" s="577">
        <v>2302491.91</v>
      </c>
      <c r="Q319" s="577">
        <v>1053193.31</v>
      </c>
      <c r="R319" s="577">
        <v>1316414.1800000002</v>
      </c>
      <c r="S319" s="577">
        <v>115154.72</v>
      </c>
      <c r="T319" s="577">
        <v>11535.030000000002</v>
      </c>
      <c r="U319" s="577">
        <v>0</v>
      </c>
      <c r="V319" s="498"/>
      <c r="W319" s="577">
        <v>342015.63141000003</v>
      </c>
      <c r="X319" s="590">
        <v>2496297.2400000002</v>
      </c>
      <c r="Y319" s="577">
        <v>2838312.8714100001</v>
      </c>
      <c r="Z319" s="577">
        <v>-535820.96140999999</v>
      </c>
      <c r="AA319" s="375">
        <f t="shared" si="4"/>
        <v>0</v>
      </c>
    </row>
    <row r="320" spans="3:27" ht="15">
      <c r="C320" s="415">
        <v>314</v>
      </c>
      <c r="D320" s="415">
        <v>327</v>
      </c>
      <c r="E320" s="66" t="s">
        <v>736</v>
      </c>
      <c r="F320" t="s">
        <v>1631</v>
      </c>
      <c r="G320" s="364">
        <v>-171137.07698979462</v>
      </c>
      <c r="H320" t="s">
        <v>2580</v>
      </c>
      <c r="K320" s="415">
        <v>314</v>
      </c>
      <c r="L320" s="415">
        <v>327</v>
      </c>
      <c r="M320" s="415"/>
      <c r="N320" s="66" t="s">
        <v>736</v>
      </c>
      <c r="O320" t="s">
        <v>2616</v>
      </c>
      <c r="P320" s="577">
        <v>3175191.48</v>
      </c>
      <c r="Q320" s="577">
        <v>1268582.6613021672</v>
      </c>
      <c r="R320" s="577">
        <v>1429480.4083093128</v>
      </c>
      <c r="S320" s="577">
        <v>130935.69881255949</v>
      </c>
      <c r="T320" s="577">
        <v>110872.05160444802</v>
      </c>
      <c r="U320" s="577">
        <v>109636.95997151254</v>
      </c>
      <c r="V320" s="200"/>
      <c r="W320" s="577">
        <v>296820.77698979451</v>
      </c>
      <c r="X320" s="590">
        <v>3049507.7800000003</v>
      </c>
      <c r="Y320" s="577">
        <v>3346328.5569897946</v>
      </c>
      <c r="Z320" s="577">
        <v>-171137.07698979462</v>
      </c>
      <c r="AA320" s="375">
        <f t="shared" si="4"/>
        <v>0</v>
      </c>
    </row>
    <row r="321" spans="3:27" ht="15">
      <c r="C321" s="415">
        <v>315</v>
      </c>
      <c r="D321" s="415">
        <v>299</v>
      </c>
      <c r="E321" s="414" t="s">
        <v>1639</v>
      </c>
      <c r="F321" s="344" t="s">
        <v>1642</v>
      </c>
      <c r="G321" s="364">
        <v>-118765.95</v>
      </c>
      <c r="H321" t="s">
        <v>2580</v>
      </c>
      <c r="K321" s="415">
        <v>315</v>
      </c>
      <c r="L321" s="415">
        <v>299</v>
      </c>
      <c r="M321" s="415"/>
      <c r="N321" s="414" t="s">
        <v>1639</v>
      </c>
      <c r="O321" s="79" t="s">
        <v>2617</v>
      </c>
      <c r="P321" s="578">
        <v>0</v>
      </c>
      <c r="Q321" s="578">
        <v>118765.95</v>
      </c>
      <c r="R321" s="578"/>
      <c r="S321" s="578"/>
      <c r="T321" s="578"/>
      <c r="U321" s="578"/>
      <c r="V321" s="497"/>
      <c r="W321" s="578">
        <v>0</v>
      </c>
      <c r="X321" s="578">
        <v>118765.95</v>
      </c>
      <c r="Y321" s="578">
        <v>118765.95</v>
      </c>
      <c r="Z321" s="578">
        <v>-118765.95</v>
      </c>
      <c r="AA321" s="375">
        <f t="shared" si="4"/>
        <v>0</v>
      </c>
    </row>
    <row r="322" spans="3:27" ht="15">
      <c r="C322" s="415">
        <v>316</v>
      </c>
      <c r="D322" s="415">
        <v>161</v>
      </c>
      <c r="E322" s="66" t="s">
        <v>438</v>
      </c>
      <c r="F322" t="s">
        <v>949</v>
      </c>
      <c r="G322" s="364">
        <v>-59252.830679999955</v>
      </c>
      <c r="H322" t="s">
        <v>2580</v>
      </c>
      <c r="K322" s="415">
        <v>316</v>
      </c>
      <c r="L322" s="415">
        <v>161</v>
      </c>
      <c r="M322" s="415"/>
      <c r="N322" s="66" t="s">
        <v>438</v>
      </c>
      <c r="O322" t="s">
        <v>1802</v>
      </c>
      <c r="P322" s="577">
        <v>319281.76</v>
      </c>
      <c r="Q322" s="577">
        <v>162477.37</v>
      </c>
      <c r="R322" s="577">
        <v>166489.56</v>
      </c>
      <c r="S322" s="577">
        <v>0</v>
      </c>
      <c r="T322" s="577">
        <v>1831.74</v>
      </c>
      <c r="U322" s="577">
        <v>0</v>
      </c>
      <c r="V322" s="200"/>
      <c r="W322" s="577">
        <v>47735.920680000003</v>
      </c>
      <c r="X322" s="590">
        <v>330798.67</v>
      </c>
      <c r="Y322" s="577">
        <v>378534.59067999996</v>
      </c>
      <c r="Z322" s="577">
        <v>-59252.830679999955</v>
      </c>
      <c r="AA322" s="375">
        <f t="shared" si="4"/>
        <v>0</v>
      </c>
    </row>
    <row r="323" spans="3:27" ht="15">
      <c r="C323" s="415">
        <v>317</v>
      </c>
      <c r="D323" s="415">
        <v>209</v>
      </c>
      <c r="E323" s="66" t="s">
        <v>531</v>
      </c>
      <c r="F323" t="s">
        <v>995</v>
      </c>
      <c r="G323" s="364">
        <v>-659241.3198937634</v>
      </c>
      <c r="H323" t="s">
        <v>2580</v>
      </c>
      <c r="K323" s="415">
        <v>317</v>
      </c>
      <c r="L323" s="415">
        <v>209</v>
      </c>
      <c r="M323" s="415"/>
      <c r="N323" s="66" t="s">
        <v>531</v>
      </c>
      <c r="O323" t="s">
        <v>1847</v>
      </c>
      <c r="P323" s="577">
        <v>1747273.12</v>
      </c>
      <c r="Q323" s="577">
        <v>627738.18865512242</v>
      </c>
      <c r="R323" s="577">
        <v>1380832.368506056</v>
      </c>
      <c r="S323" s="577">
        <v>73610.904560407027</v>
      </c>
      <c r="T323" s="577">
        <v>65748.378278414544</v>
      </c>
      <c r="U323" s="577">
        <v>0</v>
      </c>
      <c r="V323" s="200"/>
      <c r="W323" s="577">
        <v>258584.59989376366</v>
      </c>
      <c r="X323" s="590">
        <v>2147929.84</v>
      </c>
      <c r="Y323" s="577">
        <v>2406514.4398937635</v>
      </c>
      <c r="Z323" s="577">
        <v>-659241.3198937634</v>
      </c>
      <c r="AA323" s="375">
        <f t="shared" si="4"/>
        <v>0</v>
      </c>
    </row>
    <row r="324" spans="3:27" ht="15">
      <c r="C324" s="415">
        <v>318</v>
      </c>
      <c r="D324" s="415">
        <v>148</v>
      </c>
      <c r="E324" s="66" t="s">
        <v>412</v>
      </c>
      <c r="F324" t="s">
        <v>937</v>
      </c>
      <c r="G324" s="364">
        <v>-342728.69447499997</v>
      </c>
      <c r="H324" t="s">
        <v>2580</v>
      </c>
      <c r="K324" s="415">
        <v>318</v>
      </c>
      <c r="L324" s="415">
        <v>148</v>
      </c>
      <c r="M324" s="415"/>
      <c r="N324" s="66" t="s">
        <v>412</v>
      </c>
      <c r="O324" t="s">
        <v>1789</v>
      </c>
      <c r="P324" s="577">
        <v>424056.43</v>
      </c>
      <c r="Q324" s="577">
        <v>264328.64</v>
      </c>
      <c r="R324" s="577">
        <v>423480.41</v>
      </c>
      <c r="S324" s="577">
        <v>3155.44</v>
      </c>
      <c r="T324" s="577">
        <v>659.4</v>
      </c>
      <c r="U324" s="577">
        <v>0</v>
      </c>
      <c r="V324" s="200"/>
      <c r="W324" s="577">
        <v>75161.234475000005</v>
      </c>
      <c r="X324" s="590">
        <v>691623.89</v>
      </c>
      <c r="Y324" s="577">
        <v>766785.12447499996</v>
      </c>
      <c r="Z324" s="577">
        <v>-342728.69447499997</v>
      </c>
      <c r="AA324" s="375">
        <f t="shared" si="4"/>
        <v>0</v>
      </c>
    </row>
    <row r="325" spans="3:27" ht="15">
      <c r="C325" s="415">
        <v>319</v>
      </c>
      <c r="D325" s="415">
        <v>124</v>
      </c>
      <c r="E325" s="66" t="s">
        <v>1643</v>
      </c>
      <c r="F325" s="344" t="s">
        <v>1644</v>
      </c>
      <c r="G325" s="364">
        <v>-112269.25551</v>
      </c>
      <c r="H325" t="s">
        <v>2580</v>
      </c>
      <c r="K325" s="415">
        <v>319</v>
      </c>
      <c r="L325" s="415">
        <v>124</v>
      </c>
      <c r="M325" s="415"/>
      <c r="N325" s="66" t="s">
        <v>1643</v>
      </c>
      <c r="O325" t="s">
        <v>2618</v>
      </c>
      <c r="P325" s="577">
        <v>1725.23</v>
      </c>
      <c r="Q325" s="577">
        <v>87623.33</v>
      </c>
      <c r="R325" s="577">
        <v>22861.86</v>
      </c>
      <c r="S325" s="577">
        <v>0</v>
      </c>
      <c r="T325" s="577">
        <v>0</v>
      </c>
      <c r="U325" s="577">
        <v>0</v>
      </c>
      <c r="V325" s="200"/>
      <c r="W325" s="577">
        <v>3509.2955099999999</v>
      </c>
      <c r="X325" s="590">
        <v>110485.19</v>
      </c>
      <c r="Y325" s="577">
        <v>113994.48551</v>
      </c>
      <c r="Z325" s="577">
        <v>-112269.25551</v>
      </c>
      <c r="AA325" s="375">
        <f t="shared" si="4"/>
        <v>0</v>
      </c>
    </row>
    <row r="326" spans="3:27" ht="15">
      <c r="C326" s="415">
        <v>320</v>
      </c>
      <c r="D326" s="415">
        <v>168</v>
      </c>
      <c r="E326" s="66" t="s">
        <v>452</v>
      </c>
      <c r="F326" t="s">
        <v>955</v>
      </c>
      <c r="G326" s="364">
        <v>-83186.320168999999</v>
      </c>
      <c r="H326" t="s">
        <v>2580</v>
      </c>
      <c r="K326" s="415">
        <v>320</v>
      </c>
      <c r="L326" s="415">
        <v>168</v>
      </c>
      <c r="M326" s="415"/>
      <c r="N326" s="66" t="s">
        <v>452</v>
      </c>
      <c r="O326" t="s">
        <v>1809</v>
      </c>
      <c r="P326" s="577">
        <v>112780.02</v>
      </c>
      <c r="Q326" s="577">
        <v>54937.74</v>
      </c>
      <c r="R326" s="577">
        <v>98235.56</v>
      </c>
      <c r="S326" s="577">
        <v>1179.57</v>
      </c>
      <c r="T326" s="577">
        <v>4950</v>
      </c>
      <c r="U326" s="577">
        <v>0</v>
      </c>
      <c r="V326" s="200"/>
      <c r="W326" s="577">
        <v>36663.470169</v>
      </c>
      <c r="X326" s="590">
        <v>159302.87</v>
      </c>
      <c r="Y326" s="577">
        <v>195966.340169</v>
      </c>
      <c r="Z326" s="577">
        <v>-83186.320168999999</v>
      </c>
      <c r="AA326" s="375">
        <f t="shared" si="4"/>
        <v>0</v>
      </c>
    </row>
    <row r="327" spans="3:27" ht="15">
      <c r="C327" s="415">
        <v>321</v>
      </c>
      <c r="D327" s="415">
        <v>191</v>
      </c>
      <c r="E327" s="66" t="s">
        <v>495</v>
      </c>
      <c r="F327" t="s">
        <v>977</v>
      </c>
      <c r="G327" s="364">
        <v>-110463.38267000002</v>
      </c>
      <c r="H327" t="s">
        <v>2580</v>
      </c>
      <c r="K327" s="415">
        <v>321</v>
      </c>
      <c r="L327" s="415">
        <v>191</v>
      </c>
      <c r="M327" s="415"/>
      <c r="N327" s="66" t="s">
        <v>495</v>
      </c>
      <c r="O327" t="s">
        <v>1830</v>
      </c>
      <c r="P327" s="577">
        <v>248888.12</v>
      </c>
      <c r="Q327" s="577">
        <v>148489.21</v>
      </c>
      <c r="R327" s="577">
        <v>170052.3</v>
      </c>
      <c r="S327" s="577">
        <v>5477.19</v>
      </c>
      <c r="T327" s="577">
        <v>2233.36</v>
      </c>
      <c r="U327" s="577">
        <v>0</v>
      </c>
      <c r="V327" s="200"/>
      <c r="W327" s="577">
        <v>33099.442669999997</v>
      </c>
      <c r="X327" s="590">
        <v>326252.06</v>
      </c>
      <c r="Y327" s="577">
        <v>359351.50267000002</v>
      </c>
      <c r="Z327" s="577">
        <v>-110463.38267000002</v>
      </c>
      <c r="AA327" s="375">
        <f t="shared" si="4"/>
        <v>0</v>
      </c>
    </row>
    <row r="328" spans="3:27" ht="15">
      <c r="C328" s="415">
        <v>322</v>
      </c>
      <c r="D328" s="415">
        <v>74</v>
      </c>
      <c r="E328" s="66" t="s">
        <v>293</v>
      </c>
      <c r="F328" t="s">
        <v>885</v>
      </c>
      <c r="G328" s="364">
        <v>-77032.930195000008</v>
      </c>
      <c r="H328" t="s">
        <v>2580</v>
      </c>
      <c r="K328" s="415">
        <v>322</v>
      </c>
      <c r="L328" s="415">
        <v>74</v>
      </c>
      <c r="M328" s="415"/>
      <c r="N328" s="66" t="s">
        <v>293</v>
      </c>
      <c r="O328" t="s">
        <v>1726</v>
      </c>
      <c r="P328" s="577">
        <v>84633.79</v>
      </c>
      <c r="Q328" s="577">
        <v>56396.75</v>
      </c>
      <c r="R328" s="577">
        <v>77620.19</v>
      </c>
      <c r="S328" s="577">
        <v>2263.84</v>
      </c>
      <c r="T328" s="577">
        <v>690</v>
      </c>
      <c r="U328" s="577">
        <v>0</v>
      </c>
      <c r="V328" s="500"/>
      <c r="W328" s="577">
        <v>24695.940194999999</v>
      </c>
      <c r="X328" s="590">
        <v>136970.78</v>
      </c>
      <c r="Y328" s="577">
        <v>161666.720195</v>
      </c>
      <c r="Z328" s="577">
        <v>-77032.930195000008</v>
      </c>
      <c r="AA328" s="375">
        <f t="shared" ref="AA328:AA336" si="5">+G328-Z328</f>
        <v>0</v>
      </c>
    </row>
    <row r="329" spans="3:27" ht="15">
      <c r="C329" s="415">
        <v>323</v>
      </c>
      <c r="D329" s="415">
        <v>155</v>
      </c>
      <c r="E329" s="66" t="s">
        <v>426</v>
      </c>
      <c r="F329" t="s">
        <v>943</v>
      </c>
      <c r="G329" s="364">
        <v>130328.7350920001</v>
      </c>
      <c r="H329" t="s">
        <v>2580</v>
      </c>
      <c r="K329" s="415">
        <v>323</v>
      </c>
      <c r="L329" s="415">
        <v>155</v>
      </c>
      <c r="M329" s="415"/>
      <c r="N329" s="66" t="s">
        <v>426</v>
      </c>
      <c r="O329" t="s">
        <v>1796</v>
      </c>
      <c r="P329" s="577">
        <v>803621.17</v>
      </c>
      <c r="Q329" s="577">
        <v>255245.11000000004</v>
      </c>
      <c r="R329" s="577">
        <v>227201</v>
      </c>
      <c r="S329" s="577">
        <v>14817.92</v>
      </c>
      <c r="T329" s="577">
        <v>119913.53999999994</v>
      </c>
      <c r="U329" s="577">
        <v>23613.33</v>
      </c>
      <c r="V329" s="200"/>
      <c r="W329" s="577">
        <v>32501.534907999998</v>
      </c>
      <c r="X329" s="590">
        <v>640790.89999999991</v>
      </c>
      <c r="Y329" s="577">
        <v>673292.43490799994</v>
      </c>
      <c r="Z329" s="577">
        <v>130328.7350920001</v>
      </c>
      <c r="AA329" s="375">
        <f t="shared" si="5"/>
        <v>0</v>
      </c>
    </row>
    <row r="330" spans="3:27" ht="15">
      <c r="C330" s="415">
        <v>324</v>
      </c>
      <c r="D330" s="415">
        <v>86</v>
      </c>
      <c r="E330" s="66" t="s">
        <v>316</v>
      </c>
      <c r="F330" t="s">
        <v>896</v>
      </c>
      <c r="G330" s="364">
        <v>-62175.293134000036</v>
      </c>
      <c r="H330" t="s">
        <v>2580</v>
      </c>
      <c r="K330" s="415">
        <v>324</v>
      </c>
      <c r="L330" s="415">
        <v>86</v>
      </c>
      <c r="M330" s="415"/>
      <c r="N330" s="66" t="s">
        <v>316</v>
      </c>
      <c r="O330" t="s">
        <v>1738</v>
      </c>
      <c r="P330" s="577">
        <v>173017.3</v>
      </c>
      <c r="Q330" s="577">
        <v>84605.41</v>
      </c>
      <c r="R330" s="577">
        <v>115424.98000000001</v>
      </c>
      <c r="S330" s="577">
        <v>2268.1</v>
      </c>
      <c r="T330" s="577">
        <v>1801.59</v>
      </c>
      <c r="U330" s="577">
        <v>0</v>
      </c>
      <c r="V330" s="200"/>
      <c r="W330" s="577">
        <v>31092.513134000001</v>
      </c>
      <c r="X330" s="590">
        <v>204100.08000000002</v>
      </c>
      <c r="Y330" s="577">
        <v>235192.59313400002</v>
      </c>
      <c r="Z330" s="577">
        <v>-62175.293134000036</v>
      </c>
      <c r="AA330" s="375">
        <f t="shared" si="5"/>
        <v>0</v>
      </c>
    </row>
    <row r="331" spans="3:27" ht="15">
      <c r="C331" s="415">
        <v>325</v>
      </c>
      <c r="D331" s="415">
        <v>140</v>
      </c>
      <c r="E331" s="66" t="s">
        <v>396</v>
      </c>
      <c r="F331" t="s">
        <v>933</v>
      </c>
      <c r="G331" s="364">
        <v>-64446.986928000028</v>
      </c>
      <c r="H331" t="s">
        <v>2580</v>
      </c>
      <c r="K331" s="415">
        <v>325</v>
      </c>
      <c r="L331" s="415">
        <v>140</v>
      </c>
      <c r="M331" s="415"/>
      <c r="N331" s="66" t="s">
        <v>396</v>
      </c>
      <c r="O331" t="s">
        <v>1781</v>
      </c>
      <c r="P331" s="577">
        <v>150342.22</v>
      </c>
      <c r="Q331" s="577">
        <v>39281.660000000003</v>
      </c>
      <c r="R331" s="577">
        <v>58701.490000000005</v>
      </c>
      <c r="S331" s="577">
        <v>45134.64</v>
      </c>
      <c r="T331" s="577">
        <v>6285.79</v>
      </c>
      <c r="U331" s="577">
        <v>40784.39</v>
      </c>
      <c r="V331" s="200"/>
      <c r="W331" s="577">
        <v>24601.236927999998</v>
      </c>
      <c r="X331" s="590">
        <v>190187.97000000003</v>
      </c>
      <c r="Y331" s="577">
        <v>214789.20692800003</v>
      </c>
      <c r="Z331" s="577">
        <v>-64446.986928000028</v>
      </c>
      <c r="AA331" s="375">
        <f t="shared" si="5"/>
        <v>0</v>
      </c>
    </row>
    <row r="332" spans="3:27" ht="15">
      <c r="C332" s="415">
        <v>326</v>
      </c>
      <c r="D332" s="415">
        <v>47</v>
      </c>
      <c r="E332" s="66" t="s">
        <v>241</v>
      </c>
      <c r="F332" t="s">
        <v>861</v>
      </c>
      <c r="G332" s="364">
        <v>-301915.39081302308</v>
      </c>
      <c r="H332" t="s">
        <v>2580</v>
      </c>
      <c r="K332" s="415">
        <v>326</v>
      </c>
      <c r="L332" s="415">
        <v>47</v>
      </c>
      <c r="M332" s="415"/>
      <c r="N332" s="66" t="s">
        <v>241</v>
      </c>
      <c r="O332" t="s">
        <v>1700</v>
      </c>
      <c r="P332" s="577">
        <v>1191281.58</v>
      </c>
      <c r="Q332" s="577">
        <v>506443.12655424327</v>
      </c>
      <c r="R332" s="577">
        <v>827944.92008505063</v>
      </c>
      <c r="S332" s="577">
        <v>46795.201681787752</v>
      </c>
      <c r="T332" s="577">
        <v>274.37167891834065</v>
      </c>
      <c r="U332" s="577">
        <v>0</v>
      </c>
      <c r="V332" s="200"/>
      <c r="W332" s="577">
        <v>111739.35081302313</v>
      </c>
      <c r="X332" s="590">
        <v>1381457.62</v>
      </c>
      <c r="Y332" s="577">
        <v>1493196.9708130232</v>
      </c>
      <c r="Z332" s="577">
        <v>-301915.39081302308</v>
      </c>
      <c r="AA332" s="375">
        <f t="shared" si="5"/>
        <v>0</v>
      </c>
    </row>
    <row r="333" spans="3:27" ht="15">
      <c r="C333" s="415">
        <v>327</v>
      </c>
      <c r="D333" s="415">
        <v>330</v>
      </c>
      <c r="E333" s="341" t="s">
        <v>1510</v>
      </c>
      <c r="F333" s="342" t="s">
        <v>1547</v>
      </c>
      <c r="G333" s="364"/>
      <c r="H333" t="s">
        <v>2580</v>
      </c>
      <c r="K333" s="415">
        <v>327</v>
      </c>
      <c r="L333" s="415">
        <v>330</v>
      </c>
      <c r="M333" s="415"/>
      <c r="N333" s="66"/>
      <c r="P333" s="577"/>
      <c r="Q333" s="577"/>
      <c r="R333" s="577"/>
      <c r="S333" s="577"/>
      <c r="T333" s="577"/>
      <c r="U333" s="577"/>
      <c r="V333" s="200"/>
      <c r="W333" s="577"/>
      <c r="X333" s="590"/>
      <c r="Y333" s="577"/>
      <c r="Z333" s="577"/>
      <c r="AA333" s="375">
        <f t="shared" si="5"/>
        <v>0</v>
      </c>
    </row>
    <row r="334" spans="3:27" ht="15">
      <c r="C334" s="415">
        <v>328</v>
      </c>
      <c r="D334" s="415">
        <v>316</v>
      </c>
      <c r="E334" s="66" t="s">
        <v>715</v>
      </c>
      <c r="F334" t="s">
        <v>1070</v>
      </c>
      <c r="G334" s="364">
        <v>138171.48424000107</v>
      </c>
      <c r="H334" t="s">
        <v>2580</v>
      </c>
      <c r="K334" s="415">
        <v>328</v>
      </c>
      <c r="L334" s="415">
        <v>316</v>
      </c>
      <c r="M334" s="415"/>
      <c r="N334" s="66" t="s">
        <v>715</v>
      </c>
      <c r="O334" t="s">
        <v>1944</v>
      </c>
      <c r="P334" s="577">
        <v>11893860.710000001</v>
      </c>
      <c r="Q334" s="577">
        <v>4303069.1399999997</v>
      </c>
      <c r="R334" s="577">
        <v>6058180.0800000001</v>
      </c>
      <c r="S334" s="577">
        <v>150668.73000000001</v>
      </c>
      <c r="T334" s="577">
        <v>131827.54999999999</v>
      </c>
      <c r="U334" s="577">
        <v>59391.45</v>
      </c>
      <c r="V334" s="200"/>
      <c r="W334" s="577">
        <v>1052552.2757600001</v>
      </c>
      <c r="X334" s="590">
        <v>10703136.949999999</v>
      </c>
      <c r="Y334" s="577">
        <v>11755689.22576</v>
      </c>
      <c r="Z334" s="577">
        <v>138171.48424000107</v>
      </c>
      <c r="AA334" s="375">
        <f t="shared" si="5"/>
        <v>0</v>
      </c>
    </row>
    <row r="335" spans="3:27" ht="15">
      <c r="C335" s="415">
        <v>329</v>
      </c>
      <c r="D335" s="415">
        <v>274</v>
      </c>
      <c r="E335" s="66" t="s">
        <v>640</v>
      </c>
      <c r="F335" t="s">
        <v>1037</v>
      </c>
      <c r="G335" s="364">
        <v>-421361.25206659362</v>
      </c>
      <c r="H335" t="s">
        <v>2580</v>
      </c>
      <c r="K335" s="415">
        <v>329</v>
      </c>
      <c r="L335" s="415">
        <v>274</v>
      </c>
      <c r="M335" s="415"/>
      <c r="N335" s="66" t="s">
        <v>640</v>
      </c>
      <c r="O335" t="s">
        <v>1904</v>
      </c>
      <c r="P335" s="577">
        <v>3195230.52</v>
      </c>
      <c r="Q335" s="577">
        <v>1412094.0905146936</v>
      </c>
      <c r="R335" s="577">
        <v>1819541.1826154643</v>
      </c>
      <c r="S335" s="577">
        <v>127621.57734532861</v>
      </c>
      <c r="T335" s="577">
        <v>5345.2439210158163</v>
      </c>
      <c r="U335" s="577">
        <v>17298.215603497651</v>
      </c>
      <c r="V335" s="200"/>
      <c r="W335" s="577">
        <v>234691.46206659343</v>
      </c>
      <c r="X335" s="590">
        <v>3381900.31</v>
      </c>
      <c r="Y335" s="577">
        <v>3616591.7720665936</v>
      </c>
      <c r="Z335" s="577">
        <v>-421361.25206659362</v>
      </c>
      <c r="AA335" s="375">
        <f t="shared" si="5"/>
        <v>0</v>
      </c>
    </row>
    <row r="336" spans="3:27" ht="15">
      <c r="C336" s="415">
        <v>330</v>
      </c>
      <c r="D336" s="415">
        <v>325</v>
      </c>
      <c r="E336" s="66" t="s">
        <v>732</v>
      </c>
      <c r="F336" t="s">
        <v>1078</v>
      </c>
      <c r="G336" s="364">
        <v>-94570.152280000038</v>
      </c>
      <c r="H336" t="s">
        <v>2580</v>
      </c>
      <c r="K336" s="415">
        <v>330</v>
      </c>
      <c r="L336" s="415">
        <v>325</v>
      </c>
      <c r="N336" s="66" t="s">
        <v>732</v>
      </c>
      <c r="O336" t="s">
        <v>1953</v>
      </c>
      <c r="P336" s="577">
        <v>1130500.6399999999</v>
      </c>
      <c r="Q336" s="577">
        <v>551710.07999999996</v>
      </c>
      <c r="R336" s="577">
        <v>466261.22</v>
      </c>
      <c r="S336" s="577">
        <v>56843.100000000006</v>
      </c>
      <c r="T336" s="577">
        <v>16361.080000000002</v>
      </c>
      <c r="U336" s="577">
        <v>0</v>
      </c>
      <c r="V336" s="200"/>
      <c r="W336" s="577">
        <v>133895.31227999998</v>
      </c>
      <c r="X336" s="590">
        <v>1091175.48</v>
      </c>
      <c r="Y336" s="577">
        <v>1225070.7922799999</v>
      </c>
      <c r="Z336" s="577">
        <v>-94570.152280000038</v>
      </c>
      <c r="AA336" s="375">
        <f t="shared" si="5"/>
        <v>0</v>
      </c>
    </row>
    <row r="337" spans="14:27" ht="15">
      <c r="N337" s="495"/>
      <c r="O337" s="496"/>
      <c r="P337" s="499"/>
      <c r="Q337" s="200"/>
      <c r="R337" s="200"/>
      <c r="S337" s="200"/>
      <c r="T337" s="200"/>
      <c r="U337" s="200"/>
      <c r="V337" s="200"/>
      <c r="W337" s="375"/>
      <c r="X337" s="200"/>
      <c r="Y337" s="200"/>
      <c r="Z337" s="200"/>
      <c r="AA337" s="375"/>
    </row>
    <row r="338" spans="14:27" ht="15">
      <c r="N338" s="495"/>
      <c r="O338" s="496"/>
      <c r="P338" s="499"/>
      <c r="Q338" s="200"/>
      <c r="R338" s="200"/>
      <c r="S338" s="200"/>
      <c r="T338" s="200"/>
      <c r="U338" s="200"/>
      <c r="V338" s="200"/>
      <c r="W338" s="375"/>
      <c r="X338" s="200"/>
      <c r="Y338" s="200"/>
      <c r="Z338" s="200"/>
      <c r="AA338" s="375"/>
    </row>
    <row r="339" spans="14:27" ht="15">
      <c r="N339" s="495"/>
      <c r="O339" s="496"/>
      <c r="P339" s="499"/>
      <c r="Q339" s="200"/>
      <c r="R339" s="200"/>
      <c r="S339" s="200"/>
      <c r="T339" s="200"/>
      <c r="U339" s="200"/>
      <c r="V339" s="200"/>
      <c r="W339" s="375"/>
      <c r="X339" s="200"/>
      <c r="Y339" s="200"/>
      <c r="Z339" s="200"/>
      <c r="AA339" s="375"/>
    </row>
    <row r="340" spans="14:27" ht="15">
      <c r="N340" s="495"/>
      <c r="O340" s="496"/>
      <c r="P340" s="499"/>
      <c r="Q340" s="200"/>
      <c r="R340" s="200"/>
      <c r="S340" s="200"/>
      <c r="T340" s="200"/>
      <c r="U340" s="200"/>
      <c r="V340" s="200"/>
      <c r="W340" s="375"/>
      <c r="X340" s="200"/>
      <c r="Y340" s="200"/>
      <c r="Z340" s="200"/>
      <c r="AA340" s="375"/>
    </row>
    <row r="341" spans="14:27" ht="15">
      <c r="N341" s="495"/>
      <c r="O341" s="496"/>
      <c r="P341" s="499"/>
      <c r="Q341" s="200"/>
      <c r="R341" s="200"/>
      <c r="S341" s="200"/>
      <c r="T341" s="200"/>
      <c r="U341" s="200"/>
      <c r="V341" s="200"/>
      <c r="W341" s="375"/>
      <c r="X341" s="200"/>
      <c r="Y341" s="200"/>
      <c r="Z341" s="200"/>
      <c r="AA341" s="375"/>
    </row>
    <row r="342" spans="14:27" ht="15">
      <c r="N342" s="495"/>
      <c r="O342" s="496"/>
      <c r="P342" s="499"/>
      <c r="Q342" s="200"/>
      <c r="R342" s="200"/>
      <c r="S342" s="200"/>
      <c r="T342" s="200"/>
      <c r="U342" s="200"/>
      <c r="V342" s="200"/>
      <c r="W342" s="375"/>
      <c r="X342" s="200"/>
      <c r="Y342" s="200"/>
      <c r="Z342" s="200"/>
      <c r="AA342" s="375"/>
    </row>
    <row r="343" spans="14:27" ht="15">
      <c r="N343" s="495"/>
      <c r="O343" s="496"/>
      <c r="P343" s="499"/>
      <c r="Q343" s="200"/>
      <c r="R343" s="200"/>
      <c r="S343" s="200"/>
      <c r="T343" s="200"/>
      <c r="U343" s="200"/>
      <c r="V343" s="200"/>
      <c r="W343" s="375"/>
      <c r="X343" s="200"/>
      <c r="Y343" s="200"/>
      <c r="Z343" s="200"/>
      <c r="AA343" s="375"/>
    </row>
    <row r="344" spans="14:27" ht="15">
      <c r="N344" s="495"/>
      <c r="O344" s="496"/>
      <c r="P344" s="499"/>
      <c r="Q344" s="200"/>
      <c r="R344" s="200"/>
      <c r="S344" s="200"/>
      <c r="T344" s="200"/>
      <c r="U344" s="200"/>
      <c r="V344" s="200"/>
      <c r="W344" s="375"/>
      <c r="X344" s="200"/>
      <c r="Y344" s="200"/>
      <c r="Z344" s="200"/>
      <c r="AA344" s="375"/>
    </row>
    <row r="345" spans="14:27" ht="15">
      <c r="N345" s="495"/>
      <c r="O345" s="496"/>
      <c r="P345" s="499"/>
      <c r="Q345" s="200"/>
      <c r="R345" s="200"/>
      <c r="S345" s="200"/>
      <c r="T345" s="200"/>
      <c r="U345" s="200"/>
      <c r="V345" s="200"/>
      <c r="W345" s="375"/>
      <c r="X345" s="200"/>
      <c r="Y345" s="200"/>
      <c r="Z345" s="200"/>
      <c r="AA345" s="375"/>
    </row>
    <row r="346" spans="14:27" ht="15">
      <c r="N346" s="495"/>
      <c r="O346" s="496"/>
      <c r="P346" s="499"/>
      <c r="Q346" s="200"/>
      <c r="R346" s="200"/>
      <c r="S346" s="200"/>
      <c r="T346" s="200"/>
      <c r="U346" s="200"/>
      <c r="V346" s="200"/>
      <c r="W346" s="375"/>
      <c r="X346" s="200"/>
      <c r="Y346" s="200"/>
      <c r="Z346" s="200"/>
      <c r="AA346" s="375"/>
    </row>
    <row r="347" spans="14:27" ht="15">
      <c r="N347" s="495"/>
      <c r="O347" s="496"/>
      <c r="P347" s="499"/>
      <c r="Q347" s="200"/>
      <c r="R347" s="200"/>
      <c r="S347" s="200"/>
      <c r="T347" s="200"/>
      <c r="U347" s="200"/>
      <c r="V347" s="200"/>
      <c r="W347" s="375"/>
      <c r="X347" s="200"/>
      <c r="Y347" s="200"/>
      <c r="Z347" s="200"/>
      <c r="AA347" s="375"/>
    </row>
    <row r="348" spans="14:27" ht="15">
      <c r="N348" s="495"/>
      <c r="O348" s="496"/>
      <c r="P348" s="499"/>
      <c r="Q348" s="200"/>
      <c r="R348" s="200"/>
      <c r="S348" s="200"/>
      <c r="T348" s="200"/>
      <c r="U348" s="200"/>
      <c r="V348" s="200"/>
      <c r="W348" s="375"/>
      <c r="X348" s="200"/>
      <c r="Y348" s="200"/>
      <c r="Z348" s="200"/>
      <c r="AA348" s="375"/>
    </row>
    <row r="349" spans="14:27" ht="15">
      <c r="N349" s="495"/>
      <c r="O349" s="496"/>
      <c r="P349" s="499"/>
      <c r="Q349" s="200"/>
      <c r="R349" s="200"/>
      <c r="S349" s="200"/>
      <c r="T349" s="200"/>
      <c r="U349" s="200"/>
      <c r="V349" s="200"/>
      <c r="W349" s="375"/>
      <c r="X349" s="200"/>
      <c r="Y349" s="200"/>
      <c r="Z349" s="200"/>
      <c r="AA349" s="375"/>
    </row>
    <row r="350" spans="14:27" ht="15">
      <c r="N350" s="495"/>
      <c r="O350" s="496"/>
      <c r="P350" s="499"/>
      <c r="Q350" s="200"/>
      <c r="R350" s="200"/>
      <c r="S350" s="200"/>
      <c r="T350" s="200"/>
      <c r="U350" s="200"/>
      <c r="V350" s="200"/>
      <c r="W350" s="375"/>
      <c r="X350" s="200"/>
      <c r="Y350" s="200"/>
      <c r="Z350" s="200"/>
      <c r="AA350" s="375"/>
    </row>
    <row r="351" spans="14:27" ht="15">
      <c r="N351" s="495"/>
      <c r="O351" s="496"/>
      <c r="P351" s="499"/>
      <c r="Q351" s="200"/>
      <c r="R351" s="200"/>
      <c r="S351" s="200"/>
      <c r="T351" s="200"/>
      <c r="U351" s="200"/>
      <c r="V351" s="200"/>
      <c r="W351" s="375"/>
      <c r="X351" s="200"/>
      <c r="Y351" s="200"/>
      <c r="Z351" s="200"/>
    </row>
    <row r="352" spans="14:27" ht="15">
      <c r="N352" s="495"/>
      <c r="O352" s="496"/>
      <c r="P352" s="499"/>
      <c r="Q352" s="200"/>
      <c r="R352" s="200"/>
      <c r="S352" s="200"/>
      <c r="T352" s="200"/>
      <c r="U352" s="200"/>
      <c r="V352" s="200"/>
      <c r="W352" s="375"/>
      <c r="X352" s="200"/>
      <c r="Y352" s="200"/>
      <c r="Z352" s="200"/>
    </row>
    <row r="353" spans="14:26" ht="15">
      <c r="N353" s="501"/>
      <c r="O353" s="503"/>
      <c r="P353" s="591"/>
      <c r="Q353" s="200"/>
      <c r="R353" s="200"/>
      <c r="S353" s="200"/>
      <c r="T353" s="200"/>
      <c r="U353" s="200"/>
      <c r="V353" s="200"/>
      <c r="W353" s="375"/>
      <c r="X353" s="200"/>
      <c r="Y353" s="200"/>
      <c r="Z353" s="200"/>
    </row>
    <row r="354" spans="14:26" ht="15">
      <c r="N354" s="495"/>
      <c r="O354" s="496"/>
      <c r="P354" s="499"/>
      <c r="Q354" s="200"/>
      <c r="R354" s="200"/>
      <c r="S354" s="200"/>
      <c r="T354" s="200"/>
      <c r="U354" s="200"/>
      <c r="V354" s="200"/>
      <c r="W354" s="375"/>
      <c r="X354" s="200"/>
      <c r="Y354" s="200"/>
      <c r="Z354" s="200"/>
    </row>
    <row r="355" spans="14:26" ht="15">
      <c r="N355" s="495"/>
      <c r="O355" s="502"/>
      <c r="P355" s="499"/>
      <c r="Q355" s="200"/>
      <c r="R355" s="200"/>
      <c r="S355" s="200"/>
      <c r="T355" s="200"/>
      <c r="U355" s="200"/>
      <c r="V355" s="200"/>
      <c r="W355" s="375"/>
      <c r="X355" s="200"/>
      <c r="Y355" s="200"/>
      <c r="Z355" s="200"/>
    </row>
    <row r="356" spans="14:26" ht="15">
      <c r="N356" s="495"/>
      <c r="O356" s="502"/>
      <c r="P356" s="499"/>
      <c r="Q356" s="200"/>
      <c r="R356" s="200"/>
      <c r="S356" s="200"/>
      <c r="T356" s="200"/>
      <c r="U356" s="200"/>
      <c r="V356" s="200"/>
      <c r="W356" s="375"/>
      <c r="X356" s="200"/>
      <c r="Y356" s="200"/>
      <c r="Z356" s="200"/>
    </row>
  </sheetData>
  <sortState xmlns:xlrd2="http://schemas.microsoft.com/office/spreadsheetml/2017/richdata2" ref="K7:Z336">
    <sortCondition ref="K7:K336"/>
  </sortState>
  <conditionalFormatting sqref="F27">
    <cfRule type="duplicateValues" dxfId="18" priority="2"/>
  </conditionalFormatting>
  <conditionalFormatting sqref="F219">
    <cfRule type="duplicateValues" dxfId="17" priority="3"/>
  </conditionalFormatting>
  <conditionalFormatting sqref="F318">
    <cfRule type="duplicateValues" dxfId="16" priority="1"/>
  </conditionalFormatting>
  <conditionalFormatting sqref="O8">
    <cfRule type="duplicateValues" dxfId="15" priority="18"/>
  </conditionalFormatting>
  <conditionalFormatting sqref="O22">
    <cfRule type="duplicateValues" dxfId="14" priority="17"/>
  </conditionalFormatting>
  <conditionalFormatting sqref="O28">
    <cfRule type="duplicateValues" dxfId="13" priority="16"/>
  </conditionalFormatting>
  <conditionalFormatting sqref="O35">
    <cfRule type="duplicateValues" dxfId="12" priority="15"/>
  </conditionalFormatting>
  <conditionalFormatting sqref="O137">
    <cfRule type="duplicateValues" dxfId="11" priority="14"/>
  </conditionalFormatting>
  <conditionalFormatting sqref="O143">
    <cfRule type="duplicateValues" dxfId="10" priority="13"/>
  </conditionalFormatting>
  <conditionalFormatting sqref="O152:O153">
    <cfRule type="duplicateValues" dxfId="9" priority="12"/>
  </conditionalFormatting>
  <conditionalFormatting sqref="O162">
    <cfRule type="duplicateValues" dxfId="8" priority="11"/>
  </conditionalFormatting>
  <conditionalFormatting sqref="O165">
    <cfRule type="duplicateValues" dxfId="7" priority="10"/>
  </conditionalFormatting>
  <conditionalFormatting sqref="O170">
    <cfRule type="duplicateValues" dxfId="6" priority="9"/>
  </conditionalFormatting>
  <conditionalFormatting sqref="O205">
    <cfRule type="duplicateValues" dxfId="5" priority="8"/>
  </conditionalFormatting>
  <conditionalFormatting sqref="O247">
    <cfRule type="duplicateValues" dxfId="4" priority="7"/>
  </conditionalFormatting>
  <conditionalFormatting sqref="O265">
    <cfRule type="duplicateValues" dxfId="3" priority="6"/>
  </conditionalFormatting>
  <conditionalFormatting sqref="O324:O326">
    <cfRule type="duplicateValues" dxfId="2" priority="5"/>
  </conditionalFormatting>
  <conditionalFormatting sqref="O339">
    <cfRule type="duplicateValues" dxfId="1" priority="4"/>
  </conditionalFormatting>
  <conditionalFormatting sqref="O340:O354 O7 O154:O159 O163:O164 O166:O169 O327:O333 O9:O19 O23:O27 O29:O34 O36:O44 O73:O80 O138:O142 O135:O136 O144:O148 O151 O161 O171:O204 O206:O233 O246 O248:O264 O235:O244 O285:O305 O266:O283 O309:O323 O335:O338 O48:O61 O21 O63:O68 O70:O71 O91:O133">
    <cfRule type="duplicateValues" dxfId="0" priority="82"/>
  </conditionalFormatting>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C000"/>
  </sheetPr>
  <dimension ref="A1:E26"/>
  <sheetViews>
    <sheetView workbookViewId="0">
      <selection activeCell="E6" sqref="E6"/>
    </sheetView>
  </sheetViews>
  <sheetFormatPr defaultRowHeight="14.4"/>
  <cols>
    <col min="1" max="1" width="37.33203125" bestFit="1" customWidth="1"/>
    <col min="2" max="4" width="12" customWidth="1"/>
  </cols>
  <sheetData>
    <row r="1" spans="1:5">
      <c r="A1" s="682" t="s">
        <v>104</v>
      </c>
      <c r="B1" s="682"/>
      <c r="C1" s="682"/>
      <c r="D1" s="682"/>
      <c r="E1" s="682"/>
    </row>
    <row r="2" spans="1:5">
      <c r="A2" s="682" t="s">
        <v>105</v>
      </c>
      <c r="B2" s="682"/>
      <c r="C2" s="682"/>
      <c r="D2" s="682"/>
      <c r="E2" s="682"/>
    </row>
    <row r="3" spans="1:5">
      <c r="A3" s="6" t="s">
        <v>39</v>
      </c>
    </row>
    <row r="5" spans="1:5">
      <c r="B5" t="s">
        <v>3</v>
      </c>
      <c r="C5" t="s">
        <v>4</v>
      </c>
      <c r="D5" t="s">
        <v>7</v>
      </c>
      <c r="E5" t="s">
        <v>5</v>
      </c>
    </row>
    <row r="6" spans="1:5">
      <c r="A6" s="7" t="s">
        <v>72</v>
      </c>
      <c r="B6" s="20">
        <f>SUM(B7:B26)</f>
        <v>0</v>
      </c>
      <c r="C6" s="20">
        <f>SUM(C7:C26)</f>
        <v>0</v>
      </c>
      <c r="D6" s="20">
        <f>SUM(D7:D26)</f>
        <v>0</v>
      </c>
      <c r="E6" s="65"/>
    </row>
    <row r="7" spans="1:5">
      <c r="A7" s="11" t="s">
        <v>106</v>
      </c>
      <c r="B7" s="18">
        <v>0</v>
      </c>
      <c r="C7" s="18">
        <v>0</v>
      </c>
      <c r="D7" s="18">
        <v>0</v>
      </c>
      <c r="E7" s="62"/>
    </row>
    <row r="8" spans="1:5">
      <c r="B8" s="18"/>
      <c r="C8" s="18"/>
      <c r="D8" s="18"/>
      <c r="E8" s="62"/>
    </row>
    <row r="9" spans="1:5">
      <c r="B9" s="18"/>
      <c r="C9" s="18"/>
      <c r="D9" s="18"/>
      <c r="E9" s="62"/>
    </row>
    <row r="10" spans="1:5">
      <c r="B10" s="18"/>
      <c r="C10" s="18"/>
      <c r="D10" s="18"/>
      <c r="E10" s="62"/>
    </row>
    <row r="11" spans="1:5">
      <c r="B11" s="18"/>
      <c r="C11" s="18"/>
      <c r="D11" s="18"/>
      <c r="E11" s="62"/>
    </row>
    <row r="12" spans="1:5">
      <c r="B12" s="18"/>
      <c r="C12" s="18"/>
      <c r="D12" s="18"/>
      <c r="E12" s="62"/>
    </row>
    <row r="13" spans="1:5">
      <c r="B13" s="18"/>
      <c r="C13" s="18"/>
      <c r="D13" s="18"/>
      <c r="E13" s="62"/>
    </row>
    <row r="14" spans="1:5">
      <c r="B14" s="18"/>
      <c r="C14" s="18"/>
      <c r="D14" s="18"/>
      <c r="E14" s="62"/>
    </row>
    <row r="15" spans="1:5">
      <c r="B15" s="18"/>
      <c r="C15" s="18"/>
      <c r="D15" s="18"/>
      <c r="E15" s="62"/>
    </row>
    <row r="16" spans="1:5">
      <c r="B16" s="18"/>
      <c r="C16" s="18"/>
      <c r="D16" s="18"/>
      <c r="E16" s="62"/>
    </row>
    <row r="17" spans="2:5">
      <c r="B17" s="18"/>
      <c r="C17" s="18"/>
      <c r="D17" s="18"/>
      <c r="E17" s="62"/>
    </row>
    <row r="18" spans="2:5">
      <c r="B18" s="18"/>
      <c r="C18" s="18"/>
      <c r="D18" s="18"/>
      <c r="E18" s="62"/>
    </row>
    <row r="19" spans="2:5">
      <c r="B19" s="18"/>
      <c r="C19" s="18"/>
      <c r="D19" s="18"/>
      <c r="E19" s="62"/>
    </row>
    <row r="20" spans="2:5">
      <c r="B20" s="18"/>
      <c r="C20" s="18"/>
      <c r="D20" s="18"/>
      <c r="E20" s="62"/>
    </row>
    <row r="21" spans="2:5">
      <c r="B21" s="18"/>
      <c r="C21" s="18"/>
      <c r="D21" s="18"/>
      <c r="E21" s="62"/>
    </row>
    <row r="22" spans="2:5">
      <c r="B22" s="18"/>
      <c r="C22" s="18"/>
      <c r="D22" s="18"/>
      <c r="E22" s="62"/>
    </row>
    <row r="23" spans="2:5">
      <c r="B23" s="18"/>
      <c r="C23" s="18"/>
      <c r="D23" s="18"/>
      <c r="E23" s="62"/>
    </row>
    <row r="24" spans="2:5">
      <c r="B24" s="18"/>
      <c r="C24" s="18"/>
      <c r="D24" s="18"/>
      <c r="E24" s="62"/>
    </row>
    <row r="25" spans="2:5">
      <c r="B25" s="18"/>
      <c r="C25" s="18"/>
      <c r="D25" s="18"/>
      <c r="E25" s="62"/>
    </row>
    <row r="26" spans="2:5">
      <c r="B26" s="18"/>
      <c r="C26" s="18"/>
      <c r="D26" s="18"/>
      <c r="E26" s="62"/>
    </row>
  </sheetData>
  <mergeCells count="2">
    <mergeCell ref="A1:E1"/>
    <mergeCell ref="A2:E2"/>
  </mergeCells>
  <hyperlinks>
    <hyperlink ref="A3" location="'Fund Balance Summary'!A1" display="(Return to summary sheet)" xr:uid="{00000000-0004-0000-0E00-000000000000}"/>
  </hyperlink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C000"/>
  </sheetPr>
  <dimension ref="A1:E6"/>
  <sheetViews>
    <sheetView workbookViewId="0">
      <selection sqref="A1:E1"/>
    </sheetView>
  </sheetViews>
  <sheetFormatPr defaultRowHeight="14.4"/>
  <cols>
    <col min="1" max="1" width="44.5546875" bestFit="1" customWidth="1"/>
    <col min="2" max="2" width="14.33203125" bestFit="1" customWidth="1"/>
    <col min="3" max="3" width="15.33203125" bestFit="1" customWidth="1"/>
    <col min="4" max="4" width="16.33203125" bestFit="1" customWidth="1"/>
    <col min="5" max="5" width="15.33203125" bestFit="1" customWidth="1"/>
  </cols>
  <sheetData>
    <row r="1" spans="1:5">
      <c r="A1" s="682" t="s">
        <v>108</v>
      </c>
      <c r="B1" s="682"/>
      <c r="C1" s="682"/>
      <c r="D1" s="682"/>
      <c r="E1" s="682"/>
    </row>
    <row r="2" spans="1:5">
      <c r="A2" s="682" t="s">
        <v>109</v>
      </c>
      <c r="B2" s="682"/>
      <c r="C2" s="682"/>
      <c r="D2" s="682"/>
      <c r="E2" s="682"/>
    </row>
    <row r="3" spans="1:5">
      <c r="A3" s="6" t="s">
        <v>39</v>
      </c>
    </row>
    <row r="5" spans="1:5">
      <c r="B5" t="s">
        <v>51</v>
      </c>
      <c r="C5" t="s">
        <v>5</v>
      </c>
      <c r="D5" t="s">
        <v>4</v>
      </c>
      <c r="E5" t="s">
        <v>7</v>
      </c>
    </row>
    <row r="6" spans="1:5">
      <c r="A6" t="s">
        <v>162</v>
      </c>
      <c r="B6" s="23">
        <v>0</v>
      </c>
      <c r="C6" s="23">
        <v>0</v>
      </c>
      <c r="D6" s="23">
        <v>0</v>
      </c>
      <c r="E6" s="23">
        <v>0</v>
      </c>
    </row>
  </sheetData>
  <mergeCells count="2">
    <mergeCell ref="A1:E1"/>
    <mergeCell ref="A2:E2"/>
  </mergeCells>
  <hyperlinks>
    <hyperlink ref="A3" location="'Fund Balance Summary'!A1" display="(Return to summary sheet)" xr:uid="{00000000-0004-0000-0F00-000000000000}"/>
  </hyperlinks>
  <pageMargins left="0.7" right="0.7" top="0.75" bottom="0.75" header="0.3" footer="0.3"/>
  <pageSetup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C00000"/>
  </sheetPr>
  <dimension ref="A1:G24"/>
  <sheetViews>
    <sheetView workbookViewId="0">
      <selection activeCell="A3" sqref="A3"/>
    </sheetView>
  </sheetViews>
  <sheetFormatPr defaultRowHeight="14.4"/>
  <cols>
    <col min="1" max="1" width="48" bestFit="1" customWidth="1"/>
    <col min="2" max="2" width="12.5546875" bestFit="1" customWidth="1"/>
    <col min="5" max="5" width="15" customWidth="1"/>
  </cols>
  <sheetData>
    <row r="1" spans="1:7">
      <c r="A1" s="682" t="s">
        <v>0</v>
      </c>
      <c r="B1" s="682"/>
      <c r="C1" s="682"/>
      <c r="D1" s="682"/>
      <c r="E1" s="682"/>
      <c r="F1" s="682"/>
      <c r="G1" s="682"/>
    </row>
    <row r="2" spans="1:7">
      <c r="A2" s="682" t="s">
        <v>90</v>
      </c>
      <c r="B2" s="682"/>
      <c r="C2" s="682"/>
      <c r="D2" s="682"/>
      <c r="E2" s="682"/>
      <c r="F2" s="682"/>
      <c r="G2" s="682"/>
    </row>
    <row r="3" spans="1:7">
      <c r="A3" s="6" t="s">
        <v>39</v>
      </c>
    </row>
    <row r="5" spans="1:7">
      <c r="A5" s="10" t="s">
        <v>51</v>
      </c>
    </row>
    <row r="6" spans="1:7">
      <c r="A6" t="s">
        <v>91</v>
      </c>
      <c r="B6" s="1">
        <v>0</v>
      </c>
    </row>
    <row r="7" spans="1:7">
      <c r="A7" t="s">
        <v>92</v>
      </c>
      <c r="B7" s="1">
        <v>0</v>
      </c>
    </row>
    <row r="8" spans="1:7">
      <c r="A8" t="s">
        <v>93</v>
      </c>
      <c r="B8" s="1">
        <v>0</v>
      </c>
    </row>
    <row r="9" spans="1:7">
      <c r="A9" t="s">
        <v>94</v>
      </c>
      <c r="B9" s="13">
        <f>SUM(B6:B8)</f>
        <v>0</v>
      </c>
    </row>
    <row r="13" spans="1:7">
      <c r="A13" s="10" t="s">
        <v>95</v>
      </c>
    </row>
    <row r="14" spans="1:7">
      <c r="A14" t="s">
        <v>91</v>
      </c>
      <c r="B14" s="1">
        <v>0</v>
      </c>
    </row>
    <row r="15" spans="1:7">
      <c r="A15" t="s">
        <v>93</v>
      </c>
      <c r="B15" s="1">
        <v>0</v>
      </c>
    </row>
    <row r="16" spans="1:7">
      <c r="A16" t="s">
        <v>96</v>
      </c>
      <c r="B16" s="13">
        <f>B14+B15</f>
        <v>0</v>
      </c>
    </row>
    <row r="20" spans="1:2">
      <c r="A20" s="10" t="s">
        <v>98</v>
      </c>
    </row>
    <row r="21" spans="1:2">
      <c r="A21" t="s">
        <v>91</v>
      </c>
      <c r="B21" s="1">
        <v>0</v>
      </c>
    </row>
    <row r="22" spans="1:2">
      <c r="B22" s="1">
        <v>0</v>
      </c>
    </row>
    <row r="23" spans="1:2">
      <c r="A23" t="s">
        <v>93</v>
      </c>
      <c r="B23" s="1">
        <v>0</v>
      </c>
    </row>
    <row r="24" spans="1:2">
      <c r="A24" t="s">
        <v>94</v>
      </c>
      <c r="B24" s="13">
        <f>SUM(B21:B23)</f>
        <v>0</v>
      </c>
    </row>
  </sheetData>
  <mergeCells count="2">
    <mergeCell ref="A1:G1"/>
    <mergeCell ref="A2:G2"/>
  </mergeCells>
  <hyperlinks>
    <hyperlink ref="A3" location="'Fund Balance Summary'!A1" display="(Return to summary sheet)" xr:uid="{00000000-0004-0000-1000-000000000000}"/>
  </hyperlinks>
  <pageMargins left="0.7" right="0.7" top="0.75" bottom="0.75" header="0.3" footer="0.3"/>
  <pageSetup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C000"/>
  </sheetPr>
  <dimension ref="A1:B12"/>
  <sheetViews>
    <sheetView workbookViewId="0">
      <selection activeCell="A3" sqref="A3"/>
    </sheetView>
  </sheetViews>
  <sheetFormatPr defaultRowHeight="14.4"/>
  <cols>
    <col min="1" max="1" width="25.5546875" bestFit="1" customWidth="1"/>
    <col min="2" max="2" width="14.77734375" customWidth="1"/>
  </cols>
  <sheetData>
    <row r="1" spans="1:2">
      <c r="A1" s="682" t="s">
        <v>158</v>
      </c>
      <c r="B1" s="682"/>
    </row>
    <row r="2" spans="1:2">
      <c r="A2" s="682" t="s">
        <v>51</v>
      </c>
      <c r="B2" s="682"/>
    </row>
    <row r="3" spans="1:2">
      <c r="A3" s="6" t="s">
        <v>150</v>
      </c>
    </row>
    <row r="5" spans="1:2">
      <c r="A5" s="710"/>
      <c r="B5" s="710"/>
    </row>
    <row r="7" spans="1:2">
      <c r="A7" s="7" t="s">
        <v>72</v>
      </c>
      <c r="B7" s="21">
        <f>SUM(B8:B12)</f>
        <v>0</v>
      </c>
    </row>
    <row r="8" spans="1:2">
      <c r="A8" s="22" t="s">
        <v>159</v>
      </c>
      <c r="B8" s="1">
        <v>0</v>
      </c>
    </row>
    <row r="9" spans="1:2">
      <c r="A9" s="22" t="s">
        <v>159</v>
      </c>
      <c r="B9" s="1">
        <v>0</v>
      </c>
    </row>
    <row r="10" spans="1:2">
      <c r="A10" s="22" t="s">
        <v>159</v>
      </c>
      <c r="B10" s="1">
        <v>0</v>
      </c>
    </row>
    <row r="11" spans="1:2">
      <c r="A11" s="22" t="s">
        <v>159</v>
      </c>
      <c r="B11" s="1">
        <v>0</v>
      </c>
    </row>
    <row r="12" spans="1:2">
      <c r="A12" s="22" t="s">
        <v>159</v>
      </c>
      <c r="B12" s="1">
        <v>0</v>
      </c>
    </row>
  </sheetData>
  <mergeCells count="3">
    <mergeCell ref="A1:B1"/>
    <mergeCell ref="A2:B2"/>
    <mergeCell ref="A5:B5"/>
  </mergeCells>
  <hyperlinks>
    <hyperlink ref="A3" location="'Fund Balance Summary'!A1" display="(Return to Summary Sheet)" xr:uid="{00000000-0004-0000-1100-000000000000}"/>
  </hyperlinks>
  <pageMargins left="0.7" right="0.7" top="0.75" bottom="0.75" header="0.3" footer="0.3"/>
  <pageSetup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C000"/>
  </sheetPr>
  <dimension ref="A1:E28"/>
  <sheetViews>
    <sheetView workbookViewId="0">
      <selection activeCell="F3" sqref="F3"/>
    </sheetView>
  </sheetViews>
  <sheetFormatPr defaultRowHeight="14.4"/>
  <cols>
    <col min="1" max="1" width="25.5546875" bestFit="1" customWidth="1"/>
    <col min="2" max="2" width="12.88671875" bestFit="1" customWidth="1"/>
    <col min="3" max="5" width="12.5546875" bestFit="1" customWidth="1"/>
  </cols>
  <sheetData>
    <row r="1" spans="1:5">
      <c r="A1" s="682" t="s">
        <v>160</v>
      </c>
      <c r="B1" s="682"/>
      <c r="C1" s="682"/>
      <c r="D1" s="682"/>
      <c r="E1" s="682"/>
    </row>
    <row r="2" spans="1:5">
      <c r="A2" s="682" t="s">
        <v>1134</v>
      </c>
      <c r="B2" s="682"/>
      <c r="C2" s="682"/>
      <c r="D2" s="682"/>
      <c r="E2" s="682"/>
    </row>
    <row r="3" spans="1:5">
      <c r="A3" s="6" t="s">
        <v>150</v>
      </c>
    </row>
    <row r="5" spans="1:5">
      <c r="A5" s="711"/>
      <c r="B5" s="711"/>
      <c r="C5" s="711"/>
      <c r="D5" s="711"/>
      <c r="E5" s="711"/>
    </row>
    <row r="7" spans="1:5">
      <c r="B7" t="s">
        <v>51</v>
      </c>
      <c r="C7" t="s">
        <v>6</v>
      </c>
      <c r="D7" t="s">
        <v>4</v>
      </c>
      <c r="E7" t="s">
        <v>7</v>
      </c>
    </row>
    <row r="8" spans="1:5">
      <c r="A8" t="s">
        <v>72</v>
      </c>
      <c r="B8" s="2">
        <f>SUM(B9:B28)</f>
        <v>0</v>
      </c>
      <c r="C8" s="2">
        <f>SUM(C9:C28)</f>
        <v>0</v>
      </c>
      <c r="D8" s="2">
        <f>SUM(D9:D28)</f>
        <v>0</v>
      </c>
      <c r="E8" s="2">
        <f>SUM(E9:E28)</f>
        <v>0</v>
      </c>
    </row>
    <row r="9" spans="1:5">
      <c r="A9" s="22" t="s">
        <v>161</v>
      </c>
      <c r="B9" s="1">
        <v>0</v>
      </c>
      <c r="C9" s="1">
        <v>0</v>
      </c>
      <c r="D9" s="1">
        <v>0</v>
      </c>
      <c r="E9" s="1">
        <v>0</v>
      </c>
    </row>
    <row r="10" spans="1:5">
      <c r="A10" s="22" t="s">
        <v>161</v>
      </c>
      <c r="B10" s="1">
        <v>0</v>
      </c>
      <c r="C10" s="1">
        <v>0</v>
      </c>
      <c r="D10" s="1">
        <v>0</v>
      </c>
      <c r="E10" s="1">
        <v>0</v>
      </c>
    </row>
    <row r="11" spans="1:5">
      <c r="A11" s="22" t="s">
        <v>161</v>
      </c>
      <c r="B11" s="1">
        <v>0</v>
      </c>
      <c r="C11" s="1">
        <v>0</v>
      </c>
      <c r="D11" s="1">
        <v>0</v>
      </c>
      <c r="E11" s="1">
        <v>0</v>
      </c>
    </row>
    <row r="12" spans="1:5">
      <c r="A12" s="22" t="s">
        <v>161</v>
      </c>
      <c r="B12" s="1">
        <v>0</v>
      </c>
      <c r="C12" s="1">
        <v>0</v>
      </c>
      <c r="D12" s="1">
        <v>0</v>
      </c>
      <c r="E12" s="1">
        <v>0</v>
      </c>
    </row>
    <row r="13" spans="1:5">
      <c r="A13" s="22" t="s">
        <v>161</v>
      </c>
      <c r="B13" s="1">
        <v>0</v>
      </c>
      <c r="C13" s="1">
        <v>0</v>
      </c>
      <c r="D13" s="1">
        <v>0</v>
      </c>
      <c r="E13" s="1">
        <v>0</v>
      </c>
    </row>
    <row r="14" spans="1:5">
      <c r="A14" s="22" t="s">
        <v>161</v>
      </c>
      <c r="B14" s="1">
        <v>0</v>
      </c>
      <c r="C14" s="1">
        <v>0</v>
      </c>
      <c r="D14" s="1">
        <v>0</v>
      </c>
      <c r="E14" s="1">
        <v>0</v>
      </c>
    </row>
    <row r="15" spans="1:5">
      <c r="A15" s="22" t="s">
        <v>161</v>
      </c>
      <c r="B15" s="1">
        <v>0</v>
      </c>
      <c r="C15" s="1">
        <v>0</v>
      </c>
      <c r="D15" s="1">
        <v>0</v>
      </c>
      <c r="E15" s="1">
        <v>0</v>
      </c>
    </row>
    <row r="16" spans="1:5">
      <c r="A16" s="22" t="s">
        <v>161</v>
      </c>
      <c r="B16" s="1">
        <v>0</v>
      </c>
      <c r="C16" s="1">
        <v>0</v>
      </c>
      <c r="D16" s="1">
        <v>0</v>
      </c>
      <c r="E16" s="1">
        <v>0</v>
      </c>
    </row>
    <row r="17" spans="1:5">
      <c r="A17" s="22" t="s">
        <v>161</v>
      </c>
      <c r="B17" s="1">
        <v>0</v>
      </c>
      <c r="C17" s="1">
        <v>0</v>
      </c>
      <c r="D17" s="1">
        <v>0</v>
      </c>
      <c r="E17" s="1">
        <v>0</v>
      </c>
    </row>
    <row r="18" spans="1:5">
      <c r="A18" s="22" t="s">
        <v>161</v>
      </c>
      <c r="B18" s="1">
        <v>0</v>
      </c>
      <c r="C18" s="1">
        <v>0</v>
      </c>
      <c r="D18" s="1">
        <v>0</v>
      </c>
      <c r="E18" s="1">
        <v>0</v>
      </c>
    </row>
    <row r="19" spans="1:5">
      <c r="A19" s="22" t="s">
        <v>161</v>
      </c>
      <c r="B19" s="1">
        <v>0</v>
      </c>
      <c r="C19" s="1">
        <v>0</v>
      </c>
      <c r="D19" s="1">
        <v>0</v>
      </c>
      <c r="E19" s="1">
        <v>0</v>
      </c>
    </row>
    <row r="20" spans="1:5">
      <c r="A20" s="22" t="s">
        <v>161</v>
      </c>
      <c r="B20" s="1">
        <v>0</v>
      </c>
      <c r="C20" s="1">
        <v>0</v>
      </c>
      <c r="D20" s="1">
        <v>0</v>
      </c>
      <c r="E20" s="1">
        <v>0</v>
      </c>
    </row>
    <row r="21" spans="1:5">
      <c r="A21" s="22" t="s">
        <v>161</v>
      </c>
      <c r="B21" s="1">
        <v>0</v>
      </c>
      <c r="C21" s="1">
        <v>0</v>
      </c>
      <c r="D21" s="1">
        <v>0</v>
      </c>
      <c r="E21" s="1">
        <v>0</v>
      </c>
    </row>
    <row r="22" spans="1:5">
      <c r="A22" s="22" t="s">
        <v>161</v>
      </c>
      <c r="B22" s="1">
        <v>0</v>
      </c>
      <c r="C22" s="1">
        <v>0</v>
      </c>
      <c r="D22" s="1">
        <v>0</v>
      </c>
      <c r="E22" s="1">
        <v>0</v>
      </c>
    </row>
    <row r="23" spans="1:5">
      <c r="A23" s="22" t="s">
        <v>161</v>
      </c>
      <c r="B23" s="1">
        <v>0</v>
      </c>
      <c r="C23" s="1">
        <v>0</v>
      </c>
      <c r="D23" s="1">
        <v>0</v>
      </c>
      <c r="E23" s="1">
        <v>0</v>
      </c>
    </row>
    <row r="24" spans="1:5">
      <c r="A24" s="22" t="s">
        <v>161</v>
      </c>
      <c r="B24" s="1">
        <v>0</v>
      </c>
      <c r="C24" s="1">
        <v>0</v>
      </c>
      <c r="D24" s="1">
        <v>0</v>
      </c>
      <c r="E24" s="1">
        <v>0</v>
      </c>
    </row>
    <row r="25" spans="1:5">
      <c r="A25" s="22" t="s">
        <v>161</v>
      </c>
      <c r="B25" s="1">
        <v>0</v>
      </c>
      <c r="C25" s="1">
        <v>0</v>
      </c>
      <c r="D25" s="1">
        <v>0</v>
      </c>
      <c r="E25" s="1">
        <v>0</v>
      </c>
    </row>
    <row r="26" spans="1:5">
      <c r="A26" s="22" t="s">
        <v>161</v>
      </c>
      <c r="B26" s="1">
        <v>0</v>
      </c>
      <c r="C26" s="1">
        <v>0</v>
      </c>
      <c r="D26" s="1">
        <v>0</v>
      </c>
      <c r="E26" s="1">
        <v>0</v>
      </c>
    </row>
    <row r="27" spans="1:5">
      <c r="A27" s="22" t="s">
        <v>161</v>
      </c>
      <c r="B27" s="1">
        <v>0</v>
      </c>
      <c r="C27" s="1">
        <v>0</v>
      </c>
      <c r="D27" s="1">
        <v>0</v>
      </c>
      <c r="E27" s="1">
        <v>0</v>
      </c>
    </row>
    <row r="28" spans="1:5">
      <c r="A28" s="22" t="s">
        <v>161</v>
      </c>
      <c r="B28" s="1">
        <v>0</v>
      </c>
      <c r="C28" s="1">
        <v>0</v>
      </c>
      <c r="D28" s="1">
        <v>0</v>
      </c>
      <c r="E28" s="1">
        <v>0</v>
      </c>
    </row>
  </sheetData>
  <mergeCells count="3">
    <mergeCell ref="A1:E1"/>
    <mergeCell ref="A2:E2"/>
    <mergeCell ref="A5:E5"/>
  </mergeCells>
  <hyperlinks>
    <hyperlink ref="A3" location="'Fund Balance Summary'!A1" display="(Return to Summary Sheet)" xr:uid="{00000000-0004-0000-1200-000000000000}"/>
  </hyperlinks>
  <pageMargins left="0.7" right="0.7" top="0.75" bottom="0.75" header="0.3" footer="0.3"/>
  <pageSetup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C00000"/>
  </sheetPr>
  <dimension ref="A1:B7"/>
  <sheetViews>
    <sheetView workbookViewId="0">
      <selection activeCell="D2" sqref="D2"/>
    </sheetView>
  </sheetViews>
  <sheetFormatPr defaultRowHeight="14.4"/>
  <cols>
    <col min="1" max="1" width="27.88671875" bestFit="1" customWidth="1"/>
    <col min="2" max="2" width="21.88671875" customWidth="1"/>
  </cols>
  <sheetData>
    <row r="1" spans="1:2" ht="30.75" customHeight="1">
      <c r="A1" s="712" t="s">
        <v>149</v>
      </c>
      <c r="B1" s="712"/>
    </row>
    <row r="2" spans="1:2">
      <c r="A2" s="682" t="s">
        <v>102</v>
      </c>
      <c r="B2" s="682"/>
    </row>
    <row r="3" spans="1:2">
      <c r="A3" s="6" t="s">
        <v>150</v>
      </c>
    </row>
    <row r="5" spans="1:2">
      <c r="A5" t="s">
        <v>111</v>
      </c>
      <c r="B5" s="2"/>
    </row>
    <row r="6" spans="1:2">
      <c r="A6" t="s">
        <v>151</v>
      </c>
      <c r="B6" s="2">
        <v>0</v>
      </c>
    </row>
    <row r="7" spans="1:2">
      <c r="A7" t="s">
        <v>117</v>
      </c>
      <c r="B7" s="1">
        <f>+B5+B6</f>
        <v>0</v>
      </c>
    </row>
  </sheetData>
  <mergeCells count="2">
    <mergeCell ref="A1:B1"/>
    <mergeCell ref="A2:B2"/>
  </mergeCells>
  <hyperlinks>
    <hyperlink ref="A3" location="'Fund Balance Summary'!A1" display="(Return to Summary Sheet)" xr:uid="{00000000-0004-0000-1300-000000000000}"/>
  </hyperlinks>
  <pageMargins left="0.7" right="0.7" top="0.75" bottom="0.75" header="0.3" footer="0.3"/>
  <pageSetup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110</v>
      </c>
      <c r="B1" s="682"/>
      <c r="C1" s="682"/>
    </row>
    <row r="2" spans="1:3">
      <c r="A2" s="682" t="s">
        <v>98</v>
      </c>
      <c r="B2" s="682"/>
      <c r="C2" s="682"/>
    </row>
    <row r="3" spans="1:3">
      <c r="A3" s="6" t="s">
        <v>39</v>
      </c>
    </row>
    <row r="5" spans="1:3">
      <c r="A5" t="s">
        <v>111</v>
      </c>
      <c r="C5" s="1">
        <v>0</v>
      </c>
    </row>
    <row r="6" spans="1:3">
      <c r="A6" t="s">
        <v>112</v>
      </c>
    </row>
    <row r="7" spans="1:3">
      <c r="A7" t="s">
        <v>113</v>
      </c>
      <c r="B7" s="1">
        <v>0</v>
      </c>
    </row>
    <row r="8" spans="1:3">
      <c r="A8" t="s">
        <v>114</v>
      </c>
      <c r="B8" s="1">
        <v>0</v>
      </c>
    </row>
    <row r="9" spans="1:3">
      <c r="A9" t="s">
        <v>115</v>
      </c>
      <c r="C9" s="2">
        <f>+B7+B8</f>
        <v>0</v>
      </c>
    </row>
    <row r="10" spans="1:3">
      <c r="A10" t="s">
        <v>116</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400-000000000000}"/>
  </hyperlinks>
  <pageMargins left="0.7" right="0.7" top="0.75" bottom="0.75" header="0.3" footer="0.3"/>
  <pageSetup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1161</v>
      </c>
      <c r="B1" s="682"/>
      <c r="C1" s="682"/>
    </row>
    <row r="2" spans="1:3">
      <c r="A2" s="682" t="s">
        <v>98</v>
      </c>
      <c r="B2" s="682"/>
      <c r="C2" s="682"/>
    </row>
    <row r="3" spans="1:3">
      <c r="A3" s="6" t="s">
        <v>39</v>
      </c>
    </row>
    <row r="5" spans="1:3">
      <c r="A5" t="s">
        <v>111</v>
      </c>
      <c r="C5" s="1">
        <v>0</v>
      </c>
    </row>
    <row r="6" spans="1:3">
      <c r="A6" t="s">
        <v>112</v>
      </c>
    </row>
    <row r="7" spans="1:3">
      <c r="A7" t="s">
        <v>124</v>
      </c>
      <c r="B7" s="1">
        <v>0</v>
      </c>
    </row>
    <row r="8" spans="1:3">
      <c r="A8" t="s">
        <v>125</v>
      </c>
      <c r="B8" s="1">
        <v>0</v>
      </c>
    </row>
    <row r="9" spans="1:3">
      <c r="A9" t="s">
        <v>115</v>
      </c>
      <c r="C9" s="2">
        <f>+B7+B8</f>
        <v>0</v>
      </c>
    </row>
    <row r="10" spans="1:3">
      <c r="A10" t="s">
        <v>126</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500-000000000000}"/>
  </hyperlinks>
  <pageMargins left="0.7" right="0.7" top="0.75" bottom="0.75" header="0.3" footer="0.3"/>
  <pageSetup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118</v>
      </c>
      <c r="B1" s="682"/>
      <c r="C1" s="682"/>
    </row>
    <row r="2" spans="1:3">
      <c r="A2" s="682" t="s">
        <v>98</v>
      </c>
      <c r="B2" s="682"/>
      <c r="C2" s="682"/>
    </row>
    <row r="3" spans="1:3">
      <c r="A3" s="6" t="s">
        <v>39</v>
      </c>
    </row>
    <row r="5" spans="1:3">
      <c r="A5" t="s">
        <v>111</v>
      </c>
      <c r="C5" s="1">
        <v>0</v>
      </c>
    </row>
    <row r="6" spans="1:3">
      <c r="A6" t="s">
        <v>112</v>
      </c>
    </row>
    <row r="7" spans="1:3">
      <c r="A7" t="s">
        <v>127</v>
      </c>
      <c r="B7" s="1">
        <v>0</v>
      </c>
    </row>
    <row r="8" spans="1:3">
      <c r="A8" t="s">
        <v>128</v>
      </c>
      <c r="B8" s="1">
        <v>0</v>
      </c>
    </row>
    <row r="9" spans="1:3">
      <c r="A9" t="s">
        <v>115</v>
      </c>
      <c r="C9" s="2">
        <f>+B7+B8</f>
        <v>0</v>
      </c>
    </row>
    <row r="10" spans="1:3">
      <c r="A10" t="s">
        <v>129</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600-000000000000}"/>
  </hyperlinks>
  <pageMargins left="0.7" right="0.7" top="0.75" bottom="0.75" header="0.3" footer="0.3"/>
  <pageSetup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119</v>
      </c>
      <c r="B1" s="682"/>
      <c r="C1" s="682"/>
    </row>
    <row r="2" spans="1:3">
      <c r="A2" s="682" t="s">
        <v>98</v>
      </c>
      <c r="B2" s="682"/>
      <c r="C2" s="682"/>
    </row>
    <row r="3" spans="1:3">
      <c r="A3" s="6" t="s">
        <v>39</v>
      </c>
    </row>
    <row r="5" spans="1:3">
      <c r="A5" t="s">
        <v>111</v>
      </c>
      <c r="C5" s="1">
        <v>0</v>
      </c>
    </row>
    <row r="6" spans="1:3">
      <c r="A6" t="s">
        <v>112</v>
      </c>
    </row>
    <row r="7" spans="1:3">
      <c r="A7" t="s">
        <v>130</v>
      </c>
      <c r="B7" s="1">
        <v>0</v>
      </c>
    </row>
    <row r="8" spans="1:3">
      <c r="A8" t="s">
        <v>131</v>
      </c>
      <c r="B8" s="1">
        <v>0</v>
      </c>
    </row>
    <row r="9" spans="1:3">
      <c r="A9" t="s">
        <v>115</v>
      </c>
      <c r="C9" s="2">
        <f>+B7+B8</f>
        <v>0</v>
      </c>
    </row>
    <row r="10" spans="1:3">
      <c r="A10" t="s">
        <v>132</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700-000000000000}"/>
  </hyperlinks>
  <pageMargins left="0.7" right="0.7" top="0.75" bottom="0.75" header="0.3" footer="0.3"/>
  <pageSetup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120</v>
      </c>
      <c r="B1" s="682"/>
      <c r="C1" s="682"/>
    </row>
    <row r="2" spans="1:3">
      <c r="A2" s="682" t="s">
        <v>98</v>
      </c>
      <c r="B2" s="682"/>
      <c r="C2" s="682"/>
    </row>
    <row r="3" spans="1:3">
      <c r="A3" s="6" t="s">
        <v>39</v>
      </c>
    </row>
    <row r="5" spans="1:3">
      <c r="A5" t="s">
        <v>111</v>
      </c>
      <c r="C5" s="1">
        <v>0</v>
      </c>
    </row>
    <row r="6" spans="1:3">
      <c r="A6" t="s">
        <v>112</v>
      </c>
    </row>
    <row r="7" spans="1:3">
      <c r="A7" t="s">
        <v>133</v>
      </c>
      <c r="B7" s="1"/>
    </row>
    <row r="8" spans="1:3">
      <c r="A8" t="s">
        <v>134</v>
      </c>
      <c r="B8" s="1">
        <v>0</v>
      </c>
    </row>
    <row r="9" spans="1:3">
      <c r="A9" t="s">
        <v>115</v>
      </c>
      <c r="C9" s="2">
        <f>+B7+B8</f>
        <v>0</v>
      </c>
    </row>
    <row r="10" spans="1:3">
      <c r="A10" t="s">
        <v>135</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800-000000000000}"/>
  </hyperlinks>
  <pageMargins left="0.7" right="0.7" top="0.75" bottom="0.75" header="0.3" footer="0.3"/>
  <pageSetup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FFC000"/>
  </sheetPr>
  <dimension ref="A1:C11"/>
  <sheetViews>
    <sheetView workbookViewId="0">
      <selection sqref="A1:C1"/>
    </sheetView>
  </sheetViews>
  <sheetFormatPr defaultRowHeight="14.4"/>
  <cols>
    <col min="1" max="1" width="35.33203125" bestFit="1" customWidth="1"/>
    <col min="2" max="2" width="14.33203125" style="2" bestFit="1" customWidth="1"/>
    <col min="3" max="3" width="15.33203125" style="2" bestFit="1" customWidth="1"/>
  </cols>
  <sheetData>
    <row r="1" spans="1:3">
      <c r="A1" s="682" t="s">
        <v>121</v>
      </c>
      <c r="B1" s="682"/>
      <c r="C1" s="682"/>
    </row>
    <row r="2" spans="1:3">
      <c r="A2" s="682" t="s">
        <v>98</v>
      </c>
      <c r="B2" s="682"/>
      <c r="C2" s="682"/>
    </row>
    <row r="3" spans="1:3">
      <c r="A3" s="6" t="s">
        <v>39</v>
      </c>
    </row>
    <row r="5" spans="1:3">
      <c r="A5" t="s">
        <v>111</v>
      </c>
      <c r="C5" s="1">
        <v>0</v>
      </c>
    </row>
    <row r="6" spans="1:3">
      <c r="A6" t="s">
        <v>112</v>
      </c>
    </row>
    <row r="7" spans="1:3">
      <c r="A7" t="s">
        <v>136</v>
      </c>
      <c r="B7" s="1">
        <v>0</v>
      </c>
    </row>
    <row r="8" spans="1:3">
      <c r="A8" t="s">
        <v>137</v>
      </c>
      <c r="B8" s="1">
        <v>0</v>
      </c>
    </row>
    <row r="9" spans="1:3">
      <c r="A9" t="s">
        <v>115</v>
      </c>
      <c r="C9" s="2">
        <f>+B7+B8</f>
        <v>0</v>
      </c>
    </row>
    <row r="10" spans="1:3">
      <c r="A10" t="s">
        <v>138</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900-000000000000}"/>
  </hyperlinks>
  <pageMargins left="0.7" right="0.7" top="0.75" bottom="0.75" header="0.3" footer="0.3"/>
  <pageSetup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FFC000"/>
  </sheetPr>
  <dimension ref="A1:C11"/>
  <sheetViews>
    <sheetView workbookViewId="0">
      <selection activeCell="A3" sqref="A3"/>
    </sheetView>
  </sheetViews>
  <sheetFormatPr defaultRowHeight="14.4"/>
  <cols>
    <col min="1" max="1" width="35.33203125" bestFit="1" customWidth="1"/>
    <col min="2" max="2" width="14.33203125" style="2" bestFit="1" customWidth="1"/>
    <col min="3" max="3" width="15.33203125" style="2" bestFit="1" customWidth="1"/>
  </cols>
  <sheetData>
    <row r="1" spans="1:3">
      <c r="A1" s="682" t="s">
        <v>122</v>
      </c>
      <c r="B1" s="682"/>
      <c r="C1" s="682"/>
    </row>
    <row r="2" spans="1:3">
      <c r="A2" s="682" t="s">
        <v>98</v>
      </c>
      <c r="B2" s="682"/>
      <c r="C2" s="682"/>
    </row>
    <row r="3" spans="1:3">
      <c r="A3" s="6" t="s">
        <v>39</v>
      </c>
    </row>
    <row r="5" spans="1:3">
      <c r="A5" t="s">
        <v>111</v>
      </c>
      <c r="C5" s="1">
        <v>0</v>
      </c>
    </row>
    <row r="6" spans="1:3">
      <c r="A6" t="s">
        <v>112</v>
      </c>
    </row>
    <row r="7" spans="1:3">
      <c r="A7" t="s">
        <v>139</v>
      </c>
      <c r="B7" s="1">
        <v>0</v>
      </c>
    </row>
    <row r="8" spans="1:3">
      <c r="A8" t="s">
        <v>140</v>
      </c>
      <c r="B8" s="1">
        <v>0</v>
      </c>
    </row>
    <row r="9" spans="1:3">
      <c r="A9" t="s">
        <v>115</v>
      </c>
      <c r="C9" s="2">
        <f>+B7+B8</f>
        <v>0</v>
      </c>
    </row>
    <row r="10" spans="1:3">
      <c r="A10" t="s">
        <v>141</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A00-000000000000}"/>
  </hyperlinks>
  <pageMargins left="0.7" right="0.7" top="0.75" bottom="0.75" header="0.3" footer="0.3"/>
  <pageSetup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F48E4-E2D6-4A43-A95A-96FCDB547608}">
  <sheetPr>
    <tabColor rgb="FFFFC000"/>
  </sheetPr>
  <dimension ref="A1:C8"/>
  <sheetViews>
    <sheetView workbookViewId="0">
      <selection activeCell="C4" sqref="C4"/>
    </sheetView>
  </sheetViews>
  <sheetFormatPr defaultRowHeight="14.4"/>
  <cols>
    <col min="1" max="1" width="44.109375" bestFit="1" customWidth="1"/>
    <col min="2" max="2" width="3.88671875" style="2" customWidth="1"/>
    <col min="3" max="3" width="19" style="2" customWidth="1"/>
    <col min="4" max="4" width="4.44140625" customWidth="1"/>
    <col min="5" max="5" width="5.109375" customWidth="1"/>
  </cols>
  <sheetData>
    <row r="1" spans="1:3">
      <c r="A1" s="682" t="s">
        <v>2531</v>
      </c>
      <c r="B1" s="682"/>
      <c r="C1" s="682"/>
    </row>
    <row r="2" spans="1:3">
      <c r="A2" s="682" t="s">
        <v>98</v>
      </c>
      <c r="B2" s="682"/>
      <c r="C2" s="682"/>
    </row>
    <row r="3" spans="1:3">
      <c r="A3" s="6" t="s">
        <v>39</v>
      </c>
    </row>
    <row r="5" spans="1:3" ht="26.4" customHeight="1">
      <c r="A5" s="33" t="s">
        <v>111</v>
      </c>
      <c r="B5" s="208"/>
      <c r="C5" s="534">
        <v>0</v>
      </c>
    </row>
    <row r="6" spans="1:3" ht="46.8" customHeight="1">
      <c r="A6" s="53" t="s">
        <v>2530</v>
      </c>
      <c r="C6" s="534">
        <v>0</v>
      </c>
    </row>
    <row r="7" spans="1:3" ht="26.4" customHeight="1">
      <c r="A7" s="33" t="s">
        <v>2418</v>
      </c>
      <c r="B7" s="208"/>
      <c r="C7" s="534">
        <v>0</v>
      </c>
    </row>
    <row r="8" spans="1:3" ht="26.4" customHeight="1">
      <c r="A8" s="33" t="s">
        <v>117</v>
      </c>
      <c r="B8" s="208"/>
      <c r="C8" s="535">
        <f>+C5+C6-C7</f>
        <v>0</v>
      </c>
    </row>
  </sheetData>
  <mergeCells count="2">
    <mergeCell ref="A1:C1"/>
    <mergeCell ref="A2:C2"/>
  </mergeCells>
  <hyperlinks>
    <hyperlink ref="A3" location="'Fund Balance Summary'!A1" display="(Return to summary sheet)" xr:uid="{F5F8B898-4F00-41AB-84F0-20E19566F470}"/>
  </hyperlink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rgb="FFFFC000"/>
  </sheetPr>
  <dimension ref="A1:C11"/>
  <sheetViews>
    <sheetView workbookViewId="0">
      <selection activeCell="A3" sqref="A3"/>
    </sheetView>
  </sheetViews>
  <sheetFormatPr defaultRowHeight="14.4"/>
  <cols>
    <col min="1" max="1" width="35.33203125" bestFit="1" customWidth="1"/>
    <col min="2" max="2" width="14.33203125" style="2" bestFit="1" customWidth="1"/>
    <col min="3" max="3" width="15.33203125" style="2" bestFit="1" customWidth="1"/>
  </cols>
  <sheetData>
    <row r="1" spans="1:3">
      <c r="A1" s="682" t="s">
        <v>123</v>
      </c>
      <c r="B1" s="682"/>
      <c r="C1" s="682"/>
    </row>
    <row r="2" spans="1:3">
      <c r="A2" s="682" t="s">
        <v>98</v>
      </c>
      <c r="B2" s="682"/>
      <c r="C2" s="682"/>
    </row>
    <row r="3" spans="1:3">
      <c r="A3" s="6" t="s">
        <v>39</v>
      </c>
    </row>
    <row r="5" spans="1:3">
      <c r="A5" t="s">
        <v>111</v>
      </c>
      <c r="C5" s="1">
        <v>0</v>
      </c>
    </row>
    <row r="6" spans="1:3">
      <c r="A6" t="s">
        <v>112</v>
      </c>
    </row>
    <row r="7" spans="1:3">
      <c r="A7" t="s">
        <v>142</v>
      </c>
      <c r="B7" s="1">
        <v>0</v>
      </c>
    </row>
    <row r="8" spans="1:3">
      <c r="A8" t="s">
        <v>143</v>
      </c>
      <c r="B8" s="1">
        <v>0</v>
      </c>
    </row>
    <row r="9" spans="1:3">
      <c r="A9" t="s">
        <v>115</v>
      </c>
      <c r="C9" s="2">
        <f>+B7+B8</f>
        <v>0</v>
      </c>
    </row>
    <row r="10" spans="1:3">
      <c r="A10" t="s">
        <v>144</v>
      </c>
      <c r="C10" s="1">
        <v>0</v>
      </c>
    </row>
    <row r="11" spans="1:3" ht="16.2">
      <c r="A11" t="s">
        <v>117</v>
      </c>
      <c r="C11" s="8">
        <f>+C5+C9-C10</f>
        <v>0</v>
      </c>
    </row>
  </sheetData>
  <mergeCells count="2">
    <mergeCell ref="A1:C1"/>
    <mergeCell ref="A2:C2"/>
  </mergeCells>
  <hyperlinks>
    <hyperlink ref="A3" location="'Fund Balance Summary'!A1" display="(Return to summary sheet)" xr:uid="{00000000-0004-0000-1B00-000000000000}"/>
  </hyperlinks>
  <pageMargins left="0.7" right="0.7" top="0.75" bottom="0.75" header="0.3" footer="0.3"/>
  <pageSetup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rgb="FFFFFF00"/>
  </sheetPr>
  <dimension ref="A1:G26"/>
  <sheetViews>
    <sheetView workbookViewId="0">
      <selection sqref="A1:G1"/>
    </sheetView>
  </sheetViews>
  <sheetFormatPr defaultRowHeight="14.4"/>
  <cols>
    <col min="1" max="1" width="31.44140625" bestFit="1" customWidth="1"/>
    <col min="2" max="2" width="18" customWidth="1"/>
    <col min="3" max="3" width="14.88671875" bestFit="1" customWidth="1"/>
    <col min="4" max="4" width="13.109375" bestFit="1" customWidth="1"/>
    <col min="5" max="5" width="15.44140625" customWidth="1"/>
    <col min="6" max="6" width="10.88671875" bestFit="1" customWidth="1"/>
    <col min="7" max="7" width="14.109375" bestFit="1" customWidth="1"/>
  </cols>
  <sheetData>
    <row r="1" spans="1:7">
      <c r="A1" s="682" t="s">
        <v>145</v>
      </c>
      <c r="B1" s="682"/>
      <c r="C1" s="682"/>
      <c r="D1" s="682"/>
      <c r="E1" s="682"/>
      <c r="F1" s="682"/>
      <c r="G1" s="682"/>
    </row>
    <row r="2" spans="1:7">
      <c r="A2" s="682" t="s">
        <v>146</v>
      </c>
      <c r="B2" s="682"/>
      <c r="C2" s="682"/>
      <c r="D2" s="682"/>
      <c r="E2" s="682"/>
      <c r="F2" s="682"/>
      <c r="G2" s="682"/>
    </row>
    <row r="3" spans="1:7">
      <c r="A3" s="6" t="s">
        <v>39</v>
      </c>
    </row>
    <row r="5" spans="1:7" ht="31.5" customHeight="1">
      <c r="B5" s="141" t="s">
        <v>51</v>
      </c>
      <c r="C5" s="141" t="s">
        <v>147</v>
      </c>
      <c r="D5" s="141" t="s">
        <v>800</v>
      </c>
      <c r="E5" s="141" t="s">
        <v>95</v>
      </c>
      <c r="F5" s="141" t="s">
        <v>102</v>
      </c>
      <c r="G5" s="141" t="s">
        <v>148</v>
      </c>
    </row>
    <row r="6" spans="1:7">
      <c r="A6" s="22" t="s">
        <v>72</v>
      </c>
      <c r="B6" s="19">
        <f t="shared" ref="B6:G6" si="0">SUM(B7:B100)</f>
        <v>0</v>
      </c>
      <c r="C6" s="19">
        <f t="shared" si="0"/>
        <v>0</v>
      </c>
      <c r="D6" s="19">
        <f t="shared" si="0"/>
        <v>0</v>
      </c>
      <c r="E6" s="19">
        <f t="shared" si="0"/>
        <v>0</v>
      </c>
      <c r="F6" s="19">
        <f t="shared" si="0"/>
        <v>0</v>
      </c>
      <c r="G6" s="19">
        <f t="shared" si="0"/>
        <v>0</v>
      </c>
    </row>
    <row r="7" spans="1:7">
      <c r="A7" s="152" t="s">
        <v>799</v>
      </c>
      <c r="B7" s="146">
        <v>0</v>
      </c>
      <c r="C7" s="146">
        <v>0</v>
      </c>
      <c r="D7" s="146">
        <v>0</v>
      </c>
      <c r="E7" s="146">
        <v>0</v>
      </c>
      <c r="F7" s="146">
        <v>0</v>
      </c>
      <c r="G7" s="146">
        <v>0</v>
      </c>
    </row>
    <row r="8" spans="1:7">
      <c r="A8" s="152" t="s">
        <v>799</v>
      </c>
      <c r="B8" s="146">
        <v>0</v>
      </c>
      <c r="C8" s="146">
        <v>0</v>
      </c>
      <c r="D8" s="146">
        <v>0</v>
      </c>
      <c r="E8" s="146">
        <v>0</v>
      </c>
      <c r="F8" s="146">
        <v>0</v>
      </c>
      <c r="G8" s="146">
        <v>0</v>
      </c>
    </row>
    <row r="9" spans="1:7">
      <c r="A9" s="152" t="s">
        <v>799</v>
      </c>
      <c r="B9" s="146">
        <v>0</v>
      </c>
      <c r="C9" s="146">
        <v>0</v>
      </c>
      <c r="D9" s="146">
        <v>0</v>
      </c>
      <c r="E9" s="146">
        <v>0</v>
      </c>
      <c r="F9" s="146">
        <v>0</v>
      </c>
      <c r="G9" s="146">
        <v>0</v>
      </c>
    </row>
    <row r="10" spans="1:7">
      <c r="A10" s="152" t="s">
        <v>799</v>
      </c>
      <c r="B10" s="146">
        <v>0</v>
      </c>
      <c r="C10" s="146">
        <v>0</v>
      </c>
      <c r="D10" s="146">
        <v>0</v>
      </c>
      <c r="E10" s="146">
        <v>0</v>
      </c>
      <c r="F10" s="146">
        <v>0</v>
      </c>
      <c r="G10" s="146">
        <v>0</v>
      </c>
    </row>
    <row r="11" spans="1:7">
      <c r="A11" s="152" t="s">
        <v>799</v>
      </c>
      <c r="B11" s="146">
        <v>0</v>
      </c>
      <c r="C11" s="146">
        <v>0</v>
      </c>
      <c r="D11" s="146">
        <v>0</v>
      </c>
      <c r="E11" s="146">
        <v>0</v>
      </c>
      <c r="F11" s="146">
        <v>0</v>
      </c>
      <c r="G11" s="146">
        <v>0</v>
      </c>
    </row>
    <row r="12" spans="1:7">
      <c r="A12" s="152" t="s">
        <v>799</v>
      </c>
      <c r="B12" s="146">
        <v>0</v>
      </c>
      <c r="C12" s="146">
        <v>0</v>
      </c>
      <c r="D12" s="146">
        <v>0</v>
      </c>
      <c r="E12" s="146">
        <v>0</v>
      </c>
      <c r="F12" s="146">
        <v>0</v>
      </c>
      <c r="G12" s="146">
        <v>0</v>
      </c>
    </row>
    <row r="13" spans="1:7">
      <c r="A13" s="152" t="s">
        <v>799</v>
      </c>
      <c r="B13" s="146">
        <v>0</v>
      </c>
      <c r="C13" s="146">
        <v>0</v>
      </c>
      <c r="D13" s="146">
        <v>0</v>
      </c>
      <c r="E13" s="146">
        <v>0</v>
      </c>
      <c r="F13" s="146">
        <v>0</v>
      </c>
      <c r="G13" s="146">
        <v>0</v>
      </c>
    </row>
    <row r="14" spans="1:7">
      <c r="A14" s="152" t="s">
        <v>799</v>
      </c>
      <c r="B14" s="146">
        <v>0</v>
      </c>
      <c r="C14" s="146">
        <v>0</v>
      </c>
      <c r="D14" s="146">
        <v>0</v>
      </c>
      <c r="E14" s="146">
        <v>0</v>
      </c>
      <c r="F14" s="146">
        <v>0</v>
      </c>
      <c r="G14" s="146">
        <v>0</v>
      </c>
    </row>
    <row r="15" spans="1:7">
      <c r="A15" s="152" t="s">
        <v>799</v>
      </c>
      <c r="B15" s="146">
        <v>0</v>
      </c>
      <c r="C15" s="146">
        <v>0</v>
      </c>
      <c r="D15" s="146">
        <v>0</v>
      </c>
      <c r="E15" s="146">
        <v>0</v>
      </c>
      <c r="F15" s="146">
        <v>0</v>
      </c>
      <c r="G15" s="146">
        <v>0</v>
      </c>
    </row>
    <row r="16" spans="1:7">
      <c r="A16" s="152" t="s">
        <v>799</v>
      </c>
      <c r="B16" s="146">
        <v>0</v>
      </c>
      <c r="C16" s="146">
        <v>0</v>
      </c>
      <c r="D16" s="146">
        <v>0</v>
      </c>
      <c r="E16" s="146">
        <v>0</v>
      </c>
      <c r="F16" s="146">
        <v>0</v>
      </c>
      <c r="G16" s="146">
        <v>0</v>
      </c>
    </row>
    <row r="17" spans="1:7">
      <c r="A17" s="152" t="s">
        <v>799</v>
      </c>
      <c r="B17" s="146">
        <v>0</v>
      </c>
      <c r="C17" s="146">
        <v>0</v>
      </c>
      <c r="D17" s="146">
        <v>0</v>
      </c>
      <c r="E17" s="146">
        <v>0</v>
      </c>
      <c r="F17" s="146">
        <v>0</v>
      </c>
      <c r="G17" s="146">
        <v>0</v>
      </c>
    </row>
    <row r="18" spans="1:7">
      <c r="A18" s="152" t="s">
        <v>799</v>
      </c>
      <c r="B18" s="146">
        <v>0</v>
      </c>
      <c r="C18" s="146">
        <v>0</v>
      </c>
      <c r="D18" s="146">
        <v>0</v>
      </c>
      <c r="E18" s="146">
        <v>0</v>
      </c>
      <c r="F18" s="146">
        <v>0</v>
      </c>
      <c r="G18" s="146">
        <v>0</v>
      </c>
    </row>
    <row r="19" spans="1:7">
      <c r="A19" s="152" t="s">
        <v>799</v>
      </c>
      <c r="B19" s="146">
        <v>0</v>
      </c>
      <c r="C19" s="146">
        <v>0</v>
      </c>
      <c r="D19" s="146">
        <v>0</v>
      </c>
      <c r="E19" s="146">
        <v>0</v>
      </c>
      <c r="F19" s="146">
        <v>0</v>
      </c>
      <c r="G19" s="146">
        <v>0</v>
      </c>
    </row>
    <row r="20" spans="1:7">
      <c r="A20" s="152" t="s">
        <v>799</v>
      </c>
      <c r="B20" s="146">
        <v>0</v>
      </c>
      <c r="C20" s="146">
        <v>0</v>
      </c>
      <c r="D20" s="146">
        <v>0</v>
      </c>
      <c r="E20" s="146">
        <v>0</v>
      </c>
      <c r="F20" s="146">
        <v>0</v>
      </c>
      <c r="G20" s="146">
        <v>0</v>
      </c>
    </row>
    <row r="21" spans="1:7">
      <c r="A21" s="152" t="s">
        <v>799</v>
      </c>
      <c r="B21" s="146">
        <v>0</v>
      </c>
      <c r="C21" s="146">
        <v>0</v>
      </c>
      <c r="D21" s="146">
        <v>0</v>
      </c>
      <c r="E21" s="146">
        <v>0</v>
      </c>
      <c r="F21" s="146">
        <v>0</v>
      </c>
      <c r="G21" s="146">
        <v>0</v>
      </c>
    </row>
    <row r="22" spans="1:7">
      <c r="A22" s="152" t="s">
        <v>799</v>
      </c>
      <c r="B22" s="146">
        <v>0</v>
      </c>
      <c r="C22" s="146">
        <v>0</v>
      </c>
      <c r="D22" s="146">
        <v>0</v>
      </c>
      <c r="E22" s="146">
        <v>0</v>
      </c>
      <c r="F22" s="146">
        <v>0</v>
      </c>
      <c r="G22" s="146">
        <v>0</v>
      </c>
    </row>
    <row r="23" spans="1:7">
      <c r="A23" s="152" t="s">
        <v>799</v>
      </c>
      <c r="B23" s="146">
        <v>0</v>
      </c>
      <c r="C23" s="146">
        <v>0</v>
      </c>
      <c r="D23" s="146">
        <v>0</v>
      </c>
      <c r="E23" s="146">
        <v>0</v>
      </c>
      <c r="F23" s="146">
        <v>0</v>
      </c>
      <c r="G23" s="146">
        <v>0</v>
      </c>
    </row>
    <row r="24" spans="1:7">
      <c r="A24" s="152" t="s">
        <v>799</v>
      </c>
      <c r="B24" s="146">
        <v>0</v>
      </c>
      <c r="C24" s="146">
        <v>0</v>
      </c>
      <c r="D24" s="146">
        <v>0</v>
      </c>
      <c r="E24" s="146">
        <v>0</v>
      </c>
      <c r="F24" s="146">
        <v>0</v>
      </c>
      <c r="G24" s="146">
        <v>0</v>
      </c>
    </row>
    <row r="25" spans="1:7">
      <c r="A25" s="152" t="s">
        <v>799</v>
      </c>
      <c r="B25" s="146">
        <v>0</v>
      </c>
      <c r="C25" s="146">
        <v>0</v>
      </c>
      <c r="D25" s="146">
        <v>0</v>
      </c>
      <c r="E25" s="146">
        <v>0</v>
      </c>
      <c r="F25" s="146">
        <v>0</v>
      </c>
      <c r="G25" s="146">
        <v>0</v>
      </c>
    </row>
    <row r="26" spans="1:7">
      <c r="A26" s="152" t="s">
        <v>799</v>
      </c>
      <c r="B26" s="146">
        <v>0</v>
      </c>
      <c r="C26" s="146">
        <v>0</v>
      </c>
      <c r="D26" s="146">
        <v>0</v>
      </c>
      <c r="E26" s="146">
        <v>0</v>
      </c>
      <c r="F26" s="146">
        <v>0</v>
      </c>
      <c r="G26" s="146">
        <v>0</v>
      </c>
    </row>
  </sheetData>
  <mergeCells count="2">
    <mergeCell ref="A1:G1"/>
    <mergeCell ref="A2:G2"/>
  </mergeCells>
  <hyperlinks>
    <hyperlink ref="A3" location="'Fund Balance Summary'!A1" display="(Return to summary sheet)" xr:uid="{00000000-0004-0000-1C00-000000000000}"/>
  </hyperlinks>
  <pageMargins left="0.7" right="0.7" top="0.75" bottom="0.75" header="0.3" footer="0.3"/>
  <pageSetup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rgb="FFE9F54D"/>
  </sheetPr>
  <dimension ref="A1:B25"/>
  <sheetViews>
    <sheetView workbookViewId="0">
      <selection sqref="A1:B1"/>
    </sheetView>
  </sheetViews>
  <sheetFormatPr defaultRowHeight="14.4"/>
  <cols>
    <col min="1" max="1" width="41.33203125" customWidth="1"/>
    <col min="2" max="2" width="33.6640625" customWidth="1"/>
  </cols>
  <sheetData>
    <row r="1" spans="1:2">
      <c r="A1" s="713" t="s">
        <v>1485</v>
      </c>
      <c r="B1" s="713"/>
    </row>
    <row r="2" spans="1:2">
      <c r="A2" s="682" t="s">
        <v>51</v>
      </c>
      <c r="B2" s="682"/>
    </row>
    <row r="3" spans="1:2">
      <c r="A3" s="6" t="s">
        <v>39</v>
      </c>
    </row>
    <row r="4" spans="1:2">
      <c r="B4" s="7" t="s">
        <v>51</v>
      </c>
    </row>
    <row r="5" spans="1:2">
      <c r="A5" s="22" t="s">
        <v>1185</v>
      </c>
      <c r="B5" s="19">
        <f t="shared" ref="B5" si="0">SUM(B6:B99)</f>
        <v>0</v>
      </c>
    </row>
    <row r="6" spans="1:2">
      <c r="A6" s="152" t="s">
        <v>799</v>
      </c>
      <c r="B6" s="146">
        <v>0</v>
      </c>
    </row>
    <row r="7" spans="1:2">
      <c r="A7" s="152" t="s">
        <v>799</v>
      </c>
      <c r="B7" s="146">
        <v>0</v>
      </c>
    </row>
    <row r="8" spans="1:2">
      <c r="A8" s="152" t="s">
        <v>799</v>
      </c>
      <c r="B8" s="146">
        <v>0</v>
      </c>
    </row>
    <row r="9" spans="1:2">
      <c r="A9" s="152" t="s">
        <v>799</v>
      </c>
      <c r="B9" s="146">
        <v>0</v>
      </c>
    </row>
    <row r="10" spans="1:2">
      <c r="A10" s="152" t="s">
        <v>799</v>
      </c>
      <c r="B10" s="146">
        <v>0</v>
      </c>
    </row>
    <row r="11" spans="1:2">
      <c r="A11" s="152" t="s">
        <v>799</v>
      </c>
      <c r="B11" s="146">
        <v>0</v>
      </c>
    </row>
    <row r="12" spans="1:2">
      <c r="A12" s="152" t="s">
        <v>799</v>
      </c>
      <c r="B12" s="146">
        <v>0</v>
      </c>
    </row>
    <row r="13" spans="1:2">
      <c r="A13" s="152" t="s">
        <v>799</v>
      </c>
      <c r="B13" s="146">
        <v>0</v>
      </c>
    </row>
    <row r="14" spans="1:2">
      <c r="A14" s="152" t="s">
        <v>799</v>
      </c>
      <c r="B14" s="146">
        <v>0</v>
      </c>
    </row>
    <row r="15" spans="1:2">
      <c r="A15" s="152" t="s">
        <v>799</v>
      </c>
      <c r="B15" s="146">
        <v>0</v>
      </c>
    </row>
    <row r="16" spans="1:2">
      <c r="A16" s="152" t="s">
        <v>799</v>
      </c>
      <c r="B16" s="146">
        <v>0</v>
      </c>
    </row>
    <row r="17" spans="1:2">
      <c r="A17" s="152" t="s">
        <v>799</v>
      </c>
      <c r="B17" s="146">
        <v>0</v>
      </c>
    </row>
    <row r="18" spans="1:2">
      <c r="A18" s="152" t="s">
        <v>799</v>
      </c>
      <c r="B18" s="146">
        <v>0</v>
      </c>
    </row>
    <row r="19" spans="1:2">
      <c r="A19" s="152" t="s">
        <v>799</v>
      </c>
      <c r="B19" s="146">
        <v>0</v>
      </c>
    </row>
    <row r="20" spans="1:2">
      <c r="A20" s="152" t="s">
        <v>799</v>
      </c>
      <c r="B20" s="146">
        <v>0</v>
      </c>
    </row>
    <row r="21" spans="1:2">
      <c r="A21" s="152" t="s">
        <v>799</v>
      </c>
      <c r="B21" s="146">
        <v>0</v>
      </c>
    </row>
    <row r="22" spans="1:2">
      <c r="A22" s="152" t="s">
        <v>799</v>
      </c>
      <c r="B22" s="146">
        <v>0</v>
      </c>
    </row>
    <row r="23" spans="1:2">
      <c r="A23" s="152" t="s">
        <v>799</v>
      </c>
      <c r="B23" s="146">
        <v>0</v>
      </c>
    </row>
    <row r="24" spans="1:2">
      <c r="A24" s="152" t="s">
        <v>799</v>
      </c>
      <c r="B24" s="146">
        <v>0</v>
      </c>
    </row>
    <row r="25" spans="1:2">
      <c r="A25" s="152" t="s">
        <v>799</v>
      </c>
      <c r="B25" s="146">
        <v>0</v>
      </c>
    </row>
  </sheetData>
  <mergeCells count="2">
    <mergeCell ref="A1:B1"/>
    <mergeCell ref="A2:B2"/>
  </mergeCells>
  <hyperlinks>
    <hyperlink ref="A3" location="'Fund Balance Summary'!A1" display="(Return to summary sheet)" xr:uid="{00000000-0004-0000-1D00-000000000000}"/>
  </hyperlinks>
  <pageMargins left="0.7" right="0.7" top="0.75" bottom="0.75" header="0.3" footer="0.3"/>
  <pageSetup orientation="portrait"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A27389-E6E3-49BA-8B6E-F688CB82484E}">
  <sheetPr>
    <tabColor rgb="FFE9F54D"/>
  </sheetPr>
  <dimension ref="A1:N32"/>
  <sheetViews>
    <sheetView workbookViewId="0">
      <selection activeCell="A3" sqref="A3"/>
    </sheetView>
  </sheetViews>
  <sheetFormatPr defaultRowHeight="14.4"/>
  <cols>
    <col min="1" max="1" width="41.33203125" customWidth="1"/>
    <col min="2" max="2" width="33.6640625" customWidth="1"/>
    <col min="3" max="3" width="7.109375" customWidth="1"/>
  </cols>
  <sheetData>
    <row r="1" spans="1:14" ht="15" customHeight="1">
      <c r="A1" s="713" t="s">
        <v>1989</v>
      </c>
      <c r="B1" s="713"/>
      <c r="C1" s="357" t="str">
        <f>+'Fund Balance Summary'!B1</f>
        <v>14005</v>
      </c>
      <c r="D1" s="714" t="s">
        <v>2382</v>
      </c>
      <c r="E1" s="714"/>
      <c r="F1" s="714"/>
    </row>
    <row r="2" spans="1:14" ht="15" customHeight="1">
      <c r="A2" s="682" t="s">
        <v>51</v>
      </c>
      <c r="B2" s="682"/>
      <c r="C2" s="359"/>
      <c r="D2" s="714"/>
      <c r="E2" s="714"/>
      <c r="F2" s="714"/>
    </row>
    <row r="3" spans="1:14" ht="15" customHeight="1">
      <c r="A3" s="6" t="s">
        <v>39</v>
      </c>
      <c r="C3" s="359"/>
      <c r="D3" s="714"/>
      <c r="E3" s="714"/>
      <c r="F3" s="714"/>
    </row>
    <row r="4" spans="1:14" ht="15" customHeight="1">
      <c r="B4" s="7" t="s">
        <v>51</v>
      </c>
      <c r="D4" s="714"/>
      <c r="E4" s="714"/>
      <c r="F4" s="714"/>
    </row>
    <row r="5" spans="1:14" ht="16.8">
      <c r="A5" s="22" t="s">
        <v>1990</v>
      </c>
      <c r="B5" s="356">
        <f>IF(VLOOKUP($C$1,CCDDD!$D$2:$G$331,3,FALSE)=2,SUM('GL 873 Committed'!B6:B25),0)</f>
        <v>0</v>
      </c>
      <c r="D5" s="360"/>
      <c r="E5" s="360"/>
      <c r="F5" s="360"/>
      <c r="N5" s="251"/>
    </row>
    <row r="6" spans="1:14" ht="15" customHeight="1">
      <c r="A6" s="152" t="s">
        <v>799</v>
      </c>
      <c r="B6" s="146">
        <v>0</v>
      </c>
      <c r="C6" t="str">
        <f>IF(B$5=0,IF(B6&gt;0,"Warning: GL 873 not Authorized",""),"")</f>
        <v/>
      </c>
      <c r="D6" s="360"/>
      <c r="E6" s="360"/>
      <c r="F6" s="360"/>
    </row>
    <row r="7" spans="1:14" ht="15" customHeight="1">
      <c r="A7" s="152" t="s">
        <v>799</v>
      </c>
      <c r="B7" s="146">
        <v>0</v>
      </c>
      <c r="C7" t="str">
        <f t="shared" ref="C7:C25" si="0">IF(B$5=0,IF(B7&gt;0,"Warning: GL 873 not Authorized",""),"")</f>
        <v/>
      </c>
      <c r="D7" s="360"/>
      <c r="E7" s="360"/>
      <c r="F7" s="360"/>
    </row>
    <row r="8" spans="1:14">
      <c r="A8" s="152" t="s">
        <v>799</v>
      </c>
      <c r="B8" s="146">
        <v>0</v>
      </c>
      <c r="C8" t="str">
        <f t="shared" si="0"/>
        <v/>
      </c>
    </row>
    <row r="9" spans="1:14">
      <c r="A9" s="152" t="s">
        <v>799</v>
      </c>
      <c r="B9" s="146">
        <v>0</v>
      </c>
      <c r="C9" t="str">
        <f t="shared" si="0"/>
        <v/>
      </c>
    </row>
    <row r="10" spans="1:14">
      <c r="A10" s="152" t="s">
        <v>799</v>
      </c>
      <c r="B10" s="146">
        <v>0</v>
      </c>
      <c r="C10" t="str">
        <f t="shared" si="0"/>
        <v/>
      </c>
    </row>
    <row r="11" spans="1:14">
      <c r="A11" s="152" t="s">
        <v>799</v>
      </c>
      <c r="B11" s="146">
        <v>0</v>
      </c>
      <c r="C11" t="str">
        <f t="shared" si="0"/>
        <v/>
      </c>
    </row>
    <row r="12" spans="1:14">
      <c r="A12" s="152" t="s">
        <v>799</v>
      </c>
      <c r="B12" s="146">
        <v>0</v>
      </c>
      <c r="C12" t="str">
        <f t="shared" si="0"/>
        <v/>
      </c>
    </row>
    <row r="13" spans="1:14">
      <c r="A13" s="152" t="s">
        <v>799</v>
      </c>
      <c r="B13" s="146">
        <v>0</v>
      </c>
      <c r="C13" t="str">
        <f t="shared" si="0"/>
        <v/>
      </c>
    </row>
    <row r="14" spans="1:14">
      <c r="A14" s="152" t="s">
        <v>799</v>
      </c>
      <c r="B14" s="146">
        <v>0</v>
      </c>
      <c r="C14" t="str">
        <f t="shared" si="0"/>
        <v/>
      </c>
    </row>
    <row r="15" spans="1:14">
      <c r="A15" s="152" t="s">
        <v>799</v>
      </c>
      <c r="B15" s="146">
        <v>0</v>
      </c>
      <c r="C15" t="str">
        <f t="shared" si="0"/>
        <v/>
      </c>
    </row>
    <row r="16" spans="1:14">
      <c r="A16" s="152" t="s">
        <v>799</v>
      </c>
      <c r="B16" s="146">
        <v>0</v>
      </c>
      <c r="C16" t="str">
        <f t="shared" si="0"/>
        <v/>
      </c>
    </row>
    <row r="17" spans="1:3">
      <c r="A17" s="152" t="s">
        <v>799</v>
      </c>
      <c r="B17" s="146">
        <v>0</v>
      </c>
      <c r="C17" t="str">
        <f t="shared" si="0"/>
        <v/>
      </c>
    </row>
    <row r="18" spans="1:3">
      <c r="A18" s="152" t="s">
        <v>799</v>
      </c>
      <c r="B18" s="146">
        <v>0</v>
      </c>
      <c r="C18" t="str">
        <f t="shared" si="0"/>
        <v/>
      </c>
    </row>
    <row r="19" spans="1:3">
      <c r="A19" s="152" t="s">
        <v>799</v>
      </c>
      <c r="B19" s="146">
        <v>0</v>
      </c>
      <c r="C19" t="str">
        <f t="shared" si="0"/>
        <v/>
      </c>
    </row>
    <row r="20" spans="1:3">
      <c r="A20" s="152" t="s">
        <v>799</v>
      </c>
      <c r="B20" s="146">
        <v>0</v>
      </c>
      <c r="C20" t="str">
        <f t="shared" si="0"/>
        <v/>
      </c>
    </row>
    <row r="21" spans="1:3">
      <c r="A21" s="152" t="s">
        <v>799</v>
      </c>
      <c r="B21" s="146">
        <v>0</v>
      </c>
      <c r="C21" t="str">
        <f t="shared" si="0"/>
        <v/>
      </c>
    </row>
    <row r="22" spans="1:3">
      <c r="A22" s="152" t="s">
        <v>799</v>
      </c>
      <c r="B22" s="146">
        <v>0</v>
      </c>
      <c r="C22" t="str">
        <f t="shared" si="0"/>
        <v/>
      </c>
    </row>
    <row r="23" spans="1:3">
      <c r="A23" s="152" t="s">
        <v>799</v>
      </c>
      <c r="B23" s="146">
        <v>0</v>
      </c>
      <c r="C23" t="str">
        <f t="shared" si="0"/>
        <v/>
      </c>
    </row>
    <row r="24" spans="1:3">
      <c r="A24" s="152" t="s">
        <v>799</v>
      </c>
      <c r="B24" s="146">
        <v>0</v>
      </c>
      <c r="C24" t="str">
        <f t="shared" si="0"/>
        <v/>
      </c>
    </row>
    <row r="25" spans="1:3">
      <c r="A25" s="152" t="s">
        <v>799</v>
      </c>
      <c r="B25" s="146">
        <v>0</v>
      </c>
      <c r="C25" t="str">
        <f t="shared" si="0"/>
        <v/>
      </c>
    </row>
    <row r="31" spans="1:3">
      <c r="A31" s="355"/>
    </row>
    <row r="32" spans="1:3">
      <c r="A32" s="355"/>
    </row>
  </sheetData>
  <mergeCells count="3">
    <mergeCell ref="A1:B1"/>
    <mergeCell ref="A2:B2"/>
    <mergeCell ref="D1:F4"/>
  </mergeCells>
  <hyperlinks>
    <hyperlink ref="A3" location="'Fund Balance Summary'!A1" display="(Return to summary sheet)" xr:uid="{EE0AA40C-6963-4846-9109-E5A82DC04A88}"/>
  </hyperlinks>
  <pageMargins left="0.7" right="0.7" top="0.75" bottom="0.75" header="0.3" footer="0.3"/>
  <pageSetup orientation="portrait"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rgb="FF00B050"/>
  </sheetPr>
  <dimension ref="A1:B11"/>
  <sheetViews>
    <sheetView workbookViewId="0">
      <selection activeCell="G29" sqref="G29"/>
    </sheetView>
  </sheetViews>
  <sheetFormatPr defaultRowHeight="14.4"/>
  <cols>
    <col min="1" max="1" width="31.5546875" bestFit="1" customWidth="1"/>
    <col min="2" max="2" width="20.44140625" customWidth="1"/>
  </cols>
  <sheetData>
    <row r="1" spans="1:2">
      <c r="A1" s="682" t="s">
        <v>152</v>
      </c>
      <c r="B1" s="682"/>
    </row>
    <row r="2" spans="1:2">
      <c r="A2" s="715" t="s">
        <v>51</v>
      </c>
      <c r="B2" s="715"/>
    </row>
    <row r="3" spans="1:2">
      <c r="A3" s="6" t="s">
        <v>150</v>
      </c>
    </row>
    <row r="5" spans="1:2">
      <c r="B5" s="151" t="s">
        <v>51</v>
      </c>
    </row>
    <row r="6" spans="1:2">
      <c r="A6" s="149" t="s">
        <v>72</v>
      </c>
      <c r="B6" s="150">
        <f>SUM(B7:B11)</f>
        <v>0</v>
      </c>
    </row>
    <row r="7" spans="1:2">
      <c r="A7" s="148" t="s">
        <v>153</v>
      </c>
      <c r="B7" s="146">
        <v>0</v>
      </c>
    </row>
    <row r="8" spans="1:2">
      <c r="A8" s="148" t="s">
        <v>153</v>
      </c>
      <c r="B8" s="146">
        <v>0</v>
      </c>
    </row>
    <row r="9" spans="1:2">
      <c r="A9" s="148" t="s">
        <v>153</v>
      </c>
      <c r="B9" s="146">
        <v>0</v>
      </c>
    </row>
    <row r="10" spans="1:2">
      <c r="A10" s="148" t="s">
        <v>153</v>
      </c>
      <c r="B10" s="146">
        <v>0</v>
      </c>
    </row>
    <row r="11" spans="1:2">
      <c r="A11" s="148" t="s">
        <v>153</v>
      </c>
      <c r="B11" s="146">
        <v>0</v>
      </c>
    </row>
  </sheetData>
  <mergeCells count="2">
    <mergeCell ref="A1:B1"/>
    <mergeCell ref="A2:B2"/>
  </mergeCells>
  <hyperlinks>
    <hyperlink ref="A3" location="'Fund Balance Summary'!A1" display="(Return to Summary Sheet)" xr:uid="{00000000-0004-0000-1E00-000000000000}"/>
  </hyperlinks>
  <pageMargins left="0.7" right="0.7" top="0.75" bottom="0.75" header="0.3" footer="0.3"/>
  <pageSetup orientation="portrait"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50"/>
  </sheetPr>
  <dimension ref="A1:B15"/>
  <sheetViews>
    <sheetView workbookViewId="0">
      <selection sqref="A1:B1"/>
    </sheetView>
  </sheetViews>
  <sheetFormatPr defaultRowHeight="14.4"/>
  <cols>
    <col min="1" max="1" width="33.44140625" bestFit="1" customWidth="1"/>
    <col min="2" max="2" width="27.6640625" customWidth="1"/>
  </cols>
  <sheetData>
    <row r="1" spans="1:2">
      <c r="A1" s="682" t="s">
        <v>154</v>
      </c>
      <c r="B1" s="682"/>
    </row>
    <row r="2" spans="1:2">
      <c r="A2" s="715" t="s">
        <v>51</v>
      </c>
      <c r="B2" s="715"/>
    </row>
    <row r="3" spans="1:2">
      <c r="A3" s="6" t="s">
        <v>150</v>
      </c>
    </row>
    <row r="5" spans="1:2">
      <c r="A5" s="22" t="s">
        <v>72</v>
      </c>
      <c r="B5" s="19">
        <f>SUM(B6:B15)</f>
        <v>0</v>
      </c>
    </row>
    <row r="6" spans="1:2">
      <c r="A6" s="148" t="s">
        <v>155</v>
      </c>
      <c r="B6" s="146">
        <v>0</v>
      </c>
    </row>
    <row r="7" spans="1:2">
      <c r="A7" s="148" t="s">
        <v>155</v>
      </c>
      <c r="B7" s="146">
        <v>0</v>
      </c>
    </row>
    <row r="8" spans="1:2">
      <c r="A8" s="148" t="s">
        <v>155</v>
      </c>
      <c r="B8" s="146">
        <v>0</v>
      </c>
    </row>
    <row r="9" spans="1:2">
      <c r="A9" s="148" t="s">
        <v>155</v>
      </c>
      <c r="B9" s="146">
        <v>0</v>
      </c>
    </row>
    <row r="10" spans="1:2">
      <c r="A10" s="148" t="s">
        <v>155</v>
      </c>
      <c r="B10" s="146">
        <v>0</v>
      </c>
    </row>
    <row r="11" spans="1:2">
      <c r="A11" s="148" t="s">
        <v>155</v>
      </c>
      <c r="B11" s="146">
        <v>0</v>
      </c>
    </row>
    <row r="12" spans="1:2">
      <c r="A12" s="148" t="s">
        <v>155</v>
      </c>
      <c r="B12" s="146">
        <v>0</v>
      </c>
    </row>
    <row r="13" spans="1:2">
      <c r="A13" s="148" t="s">
        <v>155</v>
      </c>
      <c r="B13" s="146">
        <v>0</v>
      </c>
    </row>
    <row r="14" spans="1:2">
      <c r="A14" s="148" t="s">
        <v>155</v>
      </c>
      <c r="B14" s="146">
        <v>0</v>
      </c>
    </row>
    <row r="15" spans="1:2">
      <c r="A15" s="148" t="s">
        <v>155</v>
      </c>
      <c r="B15" s="146">
        <v>0</v>
      </c>
    </row>
  </sheetData>
  <mergeCells count="2">
    <mergeCell ref="A1:B1"/>
    <mergeCell ref="A2:B2"/>
  </mergeCells>
  <hyperlinks>
    <hyperlink ref="A3" location="'Fund Balance Summary'!A1" display="(Return to Summary Sheet)" xr:uid="{00000000-0004-0000-1F00-000000000000}"/>
  </hyperlinks>
  <pageMargins left="0.7" right="0.7" top="0.75" bottom="0.75" header="0.3" footer="0.3"/>
  <pageSetup orientation="portrait"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rgb="FF00B050"/>
  </sheetPr>
  <dimension ref="A1:B25"/>
  <sheetViews>
    <sheetView workbookViewId="0">
      <selection sqref="A1:B1"/>
    </sheetView>
  </sheetViews>
  <sheetFormatPr defaultRowHeight="14.4"/>
  <cols>
    <col min="1" max="1" width="46.33203125" bestFit="1" customWidth="1"/>
    <col min="2" max="2" width="31.33203125" customWidth="1"/>
  </cols>
  <sheetData>
    <row r="1" spans="1:2">
      <c r="A1" s="682" t="s">
        <v>156</v>
      </c>
      <c r="B1" s="682"/>
    </row>
    <row r="2" spans="1:2">
      <c r="A2" s="715" t="s">
        <v>51</v>
      </c>
      <c r="B2" s="715"/>
    </row>
    <row r="3" spans="1:2">
      <c r="A3" s="6" t="s">
        <v>150</v>
      </c>
    </row>
    <row r="5" spans="1:2">
      <c r="A5" s="22" t="s">
        <v>72</v>
      </c>
      <c r="B5" s="19">
        <f>SUM(B6:B25)</f>
        <v>0</v>
      </c>
    </row>
    <row r="6" spans="1:2">
      <c r="A6" s="148" t="s">
        <v>157</v>
      </c>
      <c r="B6" s="146">
        <v>0</v>
      </c>
    </row>
    <row r="7" spans="1:2">
      <c r="A7" s="148" t="s">
        <v>157</v>
      </c>
      <c r="B7" s="146">
        <v>0</v>
      </c>
    </row>
    <row r="8" spans="1:2">
      <c r="A8" s="148" t="s">
        <v>157</v>
      </c>
      <c r="B8" s="146">
        <v>0</v>
      </c>
    </row>
    <row r="9" spans="1:2">
      <c r="A9" s="148" t="s">
        <v>157</v>
      </c>
      <c r="B9" s="146">
        <v>0</v>
      </c>
    </row>
    <row r="10" spans="1:2">
      <c r="A10" s="148" t="s">
        <v>157</v>
      </c>
      <c r="B10" s="146">
        <v>0</v>
      </c>
    </row>
    <row r="11" spans="1:2">
      <c r="A11" s="148" t="s">
        <v>157</v>
      </c>
      <c r="B11" s="146">
        <v>0</v>
      </c>
    </row>
    <row r="12" spans="1:2">
      <c r="A12" s="148" t="s">
        <v>157</v>
      </c>
      <c r="B12" s="146">
        <v>0</v>
      </c>
    </row>
    <row r="13" spans="1:2">
      <c r="A13" s="148" t="s">
        <v>157</v>
      </c>
      <c r="B13" s="146">
        <v>0</v>
      </c>
    </row>
    <row r="14" spans="1:2">
      <c r="A14" s="148" t="s">
        <v>157</v>
      </c>
      <c r="B14" s="146">
        <v>0</v>
      </c>
    </row>
    <row r="15" spans="1:2">
      <c r="A15" s="148" t="s">
        <v>157</v>
      </c>
      <c r="B15" s="146">
        <v>0</v>
      </c>
    </row>
    <row r="16" spans="1:2">
      <c r="A16" s="148" t="s">
        <v>157</v>
      </c>
      <c r="B16" s="146">
        <v>0</v>
      </c>
    </row>
    <row r="17" spans="1:2">
      <c r="A17" s="148" t="s">
        <v>157</v>
      </c>
      <c r="B17" s="146">
        <v>0</v>
      </c>
    </row>
    <row r="18" spans="1:2">
      <c r="A18" s="148" t="s">
        <v>157</v>
      </c>
      <c r="B18" s="146">
        <v>0</v>
      </c>
    </row>
    <row r="19" spans="1:2">
      <c r="A19" s="148" t="s">
        <v>157</v>
      </c>
      <c r="B19" s="146">
        <v>0</v>
      </c>
    </row>
    <row r="20" spans="1:2">
      <c r="A20" s="148" t="s">
        <v>157</v>
      </c>
      <c r="B20" s="146">
        <v>0</v>
      </c>
    </row>
    <row r="21" spans="1:2">
      <c r="A21" s="148" t="s">
        <v>157</v>
      </c>
      <c r="B21" s="146">
        <v>0</v>
      </c>
    </row>
    <row r="22" spans="1:2">
      <c r="A22" s="148" t="s">
        <v>157</v>
      </c>
      <c r="B22" s="146">
        <v>0</v>
      </c>
    </row>
    <row r="23" spans="1:2">
      <c r="A23" s="148" t="s">
        <v>157</v>
      </c>
      <c r="B23" s="146">
        <v>0</v>
      </c>
    </row>
    <row r="24" spans="1:2">
      <c r="A24" s="148" t="s">
        <v>157</v>
      </c>
      <c r="B24" s="146">
        <v>0</v>
      </c>
    </row>
    <row r="25" spans="1:2">
      <c r="A25" s="148" t="s">
        <v>157</v>
      </c>
      <c r="B25" s="146">
        <v>0</v>
      </c>
    </row>
  </sheetData>
  <mergeCells count="2">
    <mergeCell ref="A1:B1"/>
    <mergeCell ref="A2:B2"/>
  </mergeCells>
  <hyperlinks>
    <hyperlink ref="A3" location="'Fund Balance Summary'!A1" display="(Return to Summary Sheet)" xr:uid="{00000000-0004-0000-2000-000000000000}"/>
  </hyperlinks>
  <pageMargins left="0.7" right="0.7" top="0.75" bottom="0.75" header="0.3" footer="0.3"/>
  <pageSetup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50"/>
  </sheetPr>
  <dimension ref="A1"/>
  <sheetViews>
    <sheetView workbookViewId="0"/>
  </sheetViews>
  <sheetFormatPr defaultRowHeight="14.4"/>
  <sheetData/>
  <pageMargins left="0.7" right="0.7" top="0.75" bottom="0.75" header="0.3" footer="0.3"/>
  <pageSetup orientation="portrait"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0270C0"/>
  </sheetPr>
  <dimension ref="A1"/>
  <sheetViews>
    <sheetView workbookViewId="0"/>
  </sheetViews>
  <sheetFormatPr defaultRowHeight="14.4"/>
  <sheetData/>
  <pageMargins left="0.7" right="0.7" top="0.75" bottom="0.75" header="0.3" footer="0.3"/>
  <pageSetup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270C0"/>
  </sheetPr>
  <dimension ref="A1:B28"/>
  <sheetViews>
    <sheetView workbookViewId="0">
      <selection activeCell="B28" sqref="B28"/>
    </sheetView>
  </sheetViews>
  <sheetFormatPr defaultRowHeight="14.4"/>
  <cols>
    <col min="1" max="1" width="52" bestFit="1" customWidth="1"/>
    <col min="2" max="2" width="23.88671875" customWidth="1"/>
  </cols>
  <sheetData>
    <row r="1" spans="1:2">
      <c r="A1" s="682" t="s">
        <v>1179</v>
      </c>
      <c r="B1" s="682"/>
    </row>
    <row r="2" spans="1:2">
      <c r="A2" s="715" t="s">
        <v>51</v>
      </c>
      <c r="B2" s="715"/>
    </row>
    <row r="3" spans="1:2">
      <c r="A3" s="6" t="s">
        <v>150</v>
      </c>
    </row>
    <row r="5" spans="1:2">
      <c r="A5" s="716" t="s">
        <v>80</v>
      </c>
      <c r="B5" s="716"/>
    </row>
    <row r="6" spans="1:2">
      <c r="A6" s="17"/>
      <c r="B6" s="17"/>
    </row>
    <row r="7" spans="1:2">
      <c r="A7" s="35" t="s">
        <v>81</v>
      </c>
      <c r="B7" s="36"/>
    </row>
    <row r="8" spans="1:2">
      <c r="A8" s="37" t="s">
        <v>82</v>
      </c>
      <c r="B8" s="38">
        <v>0</v>
      </c>
    </row>
    <row r="9" spans="1:2">
      <c r="A9" s="37" t="s">
        <v>83</v>
      </c>
      <c r="B9" s="39">
        <f>1/12</f>
        <v>8.3333333333333329E-2</v>
      </c>
    </row>
    <row r="10" spans="1:2">
      <c r="A10" s="37" t="s">
        <v>85</v>
      </c>
      <c r="B10" s="40">
        <f>ROUND(B8*B9,2)</f>
        <v>0</v>
      </c>
    </row>
    <row r="11" spans="1:2">
      <c r="A11" s="37" t="s">
        <v>84</v>
      </c>
      <c r="B11" s="39">
        <v>8.4500000000000006E-2</v>
      </c>
    </row>
    <row r="12" spans="1:2">
      <c r="A12" s="37" t="s">
        <v>86</v>
      </c>
      <c r="B12" s="40">
        <f>ROUND(B8*B11,2)</f>
        <v>0</v>
      </c>
    </row>
    <row r="13" spans="1:2">
      <c r="A13" s="37" t="s">
        <v>1182</v>
      </c>
      <c r="B13" s="38">
        <v>0</v>
      </c>
    </row>
    <row r="14" spans="1:2">
      <c r="A14" s="41" t="s">
        <v>1183</v>
      </c>
      <c r="B14" s="42">
        <f>IF(B8=0,0,B13/B8)</f>
        <v>0</v>
      </c>
    </row>
    <row r="16" spans="1:2">
      <c r="A16" s="35" t="s">
        <v>87</v>
      </c>
      <c r="B16" s="36"/>
    </row>
    <row r="17" spans="1:2">
      <c r="A17" s="37" t="s">
        <v>82</v>
      </c>
      <c r="B17" s="38">
        <v>0</v>
      </c>
    </row>
    <row r="18" spans="1:2">
      <c r="A18" s="37" t="s">
        <v>88</v>
      </c>
      <c r="B18" s="43">
        <v>0.05</v>
      </c>
    </row>
    <row r="19" spans="1:2">
      <c r="A19" s="37" t="s">
        <v>89</v>
      </c>
      <c r="B19" s="40">
        <f>ROUND(B17*B18,2)</f>
        <v>0</v>
      </c>
    </row>
    <row r="20" spans="1:2">
      <c r="A20" s="37" t="s">
        <v>1182</v>
      </c>
      <c r="B20" s="38">
        <v>0</v>
      </c>
    </row>
    <row r="21" spans="1:2">
      <c r="A21" s="41" t="s">
        <v>1183</v>
      </c>
      <c r="B21" s="42">
        <f>IF(B17=0,0,B20/B17)</f>
        <v>0</v>
      </c>
    </row>
    <row r="23" spans="1:2">
      <c r="A23" s="35" t="s">
        <v>769</v>
      </c>
      <c r="B23" s="36"/>
    </row>
    <row r="24" spans="1:2">
      <c r="A24" s="37" t="s">
        <v>89</v>
      </c>
      <c r="B24" s="38">
        <v>0</v>
      </c>
    </row>
    <row r="25" spans="1:2">
      <c r="A25" s="41" t="s">
        <v>1182</v>
      </c>
      <c r="B25" s="44">
        <v>0</v>
      </c>
    </row>
    <row r="28" spans="1:2">
      <c r="A28" t="s">
        <v>1184</v>
      </c>
      <c r="B28" s="14">
        <f>IF(B20&lt;&gt;0,B20,IF(B25&lt;&gt;0,B25,B13))</f>
        <v>0</v>
      </c>
    </row>
  </sheetData>
  <mergeCells count="3">
    <mergeCell ref="A1:B1"/>
    <mergeCell ref="A2:B2"/>
    <mergeCell ref="A5:B5"/>
  </mergeCells>
  <dataValidations count="3">
    <dataValidation type="decimal" errorStyle="warning" operator="notEqual" allowBlank="1" showInputMessage="1" showErrorMessage="1" errorTitle="Value/Policy Mismatch" error="The amount entered into this cell does not match the district's established fund balance policy." sqref="B25" xr:uid="{00000000-0002-0000-2300-000000000000}">
      <formula1>B24</formula1>
    </dataValidation>
    <dataValidation type="decimal" errorStyle="warning" operator="equal" allowBlank="1" showInputMessage="1" showErrorMessage="1" errorTitle="Value/Policy Mismatch" error="The amount recorded in this cell does not match the district's policy for minimum fund balance." sqref="B20" xr:uid="{00000000-0002-0000-2300-000001000000}">
      <formula1>B19</formula1>
    </dataValidation>
    <dataValidation type="decimal" errorStyle="warning" allowBlank="1" showInputMessage="1" showErrorMessage="1" errorTitle="Value Out Of Range" error="The amount entered in this cell is not within the district's established fund balance policy range." sqref="B13" xr:uid="{00000000-0002-0000-2300-000002000000}">
      <formula1>B10</formula1>
      <formula2>B12</formula2>
    </dataValidation>
  </dataValidations>
  <hyperlinks>
    <hyperlink ref="A3" location="'Fund Balance Summary'!A1" display="(Return to Summary Sheet)" xr:uid="{00000000-0004-0000-2300-000000000000}"/>
  </hyperlinks>
  <pageMargins left="0.7" right="0.7" top="0.75" bottom="0.75" header="0.3" footer="0.3"/>
  <pageSetup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F15"/>
  <sheetViews>
    <sheetView workbookViewId="0"/>
  </sheetViews>
  <sheetFormatPr defaultRowHeight="14.4"/>
  <cols>
    <col min="1" max="1" width="47.33203125" bestFit="1" customWidth="1"/>
  </cols>
  <sheetData>
    <row r="1" spans="1:6">
      <c r="A1" s="6" t="s">
        <v>810</v>
      </c>
    </row>
    <row r="3" spans="1:6">
      <c r="A3" t="s">
        <v>811</v>
      </c>
    </row>
    <row r="5" spans="1:6">
      <c r="A5" s="639" t="s">
        <v>812</v>
      </c>
      <c r="B5" s="639"/>
      <c r="C5" s="639"/>
      <c r="D5" s="639"/>
      <c r="E5" s="639"/>
      <c r="F5" s="639"/>
    </row>
    <row r="6" spans="1:6">
      <c r="A6" t="s">
        <v>813</v>
      </c>
    </row>
    <row r="7" spans="1:6">
      <c r="A7" t="s">
        <v>823</v>
      </c>
      <c r="B7" t="s">
        <v>814</v>
      </c>
    </row>
    <row r="8" spans="1:6">
      <c r="A8" t="s">
        <v>815</v>
      </c>
      <c r="C8" t="s">
        <v>814</v>
      </c>
    </row>
    <row r="10" spans="1:6">
      <c r="A10" s="639" t="s">
        <v>816</v>
      </c>
      <c r="B10" s="639"/>
      <c r="C10" s="639"/>
      <c r="D10" s="639"/>
      <c r="E10" s="639"/>
      <c r="F10" s="639"/>
    </row>
    <row r="11" spans="1:6">
      <c r="A11" s="639" t="s">
        <v>817</v>
      </c>
      <c r="B11" s="639"/>
      <c r="C11" s="639"/>
      <c r="D11" s="639"/>
      <c r="E11" s="639"/>
      <c r="F11" s="639"/>
    </row>
    <row r="13" spans="1:6">
      <c r="A13" t="s">
        <v>818</v>
      </c>
      <c r="B13" t="s">
        <v>819</v>
      </c>
    </row>
    <row r="14" spans="1:6">
      <c r="A14" t="s">
        <v>820</v>
      </c>
      <c r="B14" t="s">
        <v>814</v>
      </c>
      <c r="D14" t="s">
        <v>824</v>
      </c>
    </row>
    <row r="15" spans="1:6">
      <c r="A15" t="s">
        <v>821</v>
      </c>
      <c r="C15" t="s">
        <v>822</v>
      </c>
    </row>
  </sheetData>
  <mergeCells count="3">
    <mergeCell ref="A5:F5"/>
    <mergeCell ref="A10:F10"/>
    <mergeCell ref="A11:F11"/>
  </mergeCells>
  <hyperlinks>
    <hyperlink ref="A1" location="'GL 821 Restricted'!A1" display="(Click here to go back to the GL 821 page.)" xr:uid="{00000000-0004-0000-2400-000000000000}"/>
  </hyperlink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41</vt:i4>
      </vt:variant>
      <vt:variant>
        <vt:lpstr>Named Ranges</vt:lpstr>
      </vt:variant>
      <vt:variant>
        <vt:i4>8</vt:i4>
      </vt:variant>
    </vt:vector>
  </HeadingPairs>
  <TitlesOfParts>
    <vt:vector size="49" baseType="lpstr">
      <vt:lpstr>Please Read Instructions</vt:lpstr>
      <vt:lpstr>CCDDD</vt:lpstr>
      <vt:lpstr>Fund Balance Summary</vt:lpstr>
      <vt:lpstr>ALLOC</vt:lpstr>
      <vt:lpstr>Indirects</vt:lpstr>
      <vt:lpstr>GL 810 Restricted</vt:lpstr>
      <vt:lpstr>GL 815 Restricted</vt:lpstr>
      <vt:lpstr>GL 819 Restricted</vt:lpstr>
      <vt:lpstr>GL 821 Restricted</vt:lpstr>
      <vt:lpstr>1191 PLD 34 Annual Detail</vt:lpstr>
      <vt:lpstr>PLD Allocation</vt:lpstr>
      <vt:lpstr>GL 823 Restricted</vt:lpstr>
      <vt:lpstr>GL 825 Restricted</vt:lpstr>
      <vt:lpstr>GL 828 Restricted</vt:lpstr>
      <vt:lpstr>Food Svc Carryover</vt:lpstr>
      <vt:lpstr>Sheet1</vt:lpstr>
      <vt:lpstr>GL 830 Restricted</vt:lpstr>
      <vt:lpstr>GL 835 Restricted</vt:lpstr>
      <vt:lpstr>GL 840 Nonspendable</vt:lpstr>
      <vt:lpstr>GL 845 Restricted</vt:lpstr>
      <vt:lpstr>GL 850 Restricted</vt:lpstr>
      <vt:lpstr>GL 855 Nonspendable</vt:lpstr>
      <vt:lpstr>GL 861 CPF Restricted</vt:lpstr>
      <vt:lpstr>GL 862 CPF Restricted</vt:lpstr>
      <vt:lpstr>GL 863 CPF Restricted</vt:lpstr>
      <vt:lpstr>GL 864 CPF Restricted</vt:lpstr>
      <vt:lpstr>GL 865 CPF Restricted</vt:lpstr>
      <vt:lpstr>GL 866 CPF Restricted</vt:lpstr>
      <vt:lpstr>GL 867 CPF Restricted</vt:lpstr>
      <vt:lpstr>GL 868 CPF Restricted</vt:lpstr>
      <vt:lpstr>GL 869 CPF Restricted</vt:lpstr>
      <vt:lpstr>GL 870 Committed</vt:lpstr>
      <vt:lpstr>GL 872 Committed</vt:lpstr>
      <vt:lpstr>GL 873 Committed</vt:lpstr>
      <vt:lpstr>GL 875 Assigned</vt:lpstr>
      <vt:lpstr>GL 884 Assigned</vt:lpstr>
      <vt:lpstr>GL 888 Assigned</vt:lpstr>
      <vt:lpstr>GL 889 Assigned</vt:lpstr>
      <vt:lpstr>GL 890 Unassigned</vt:lpstr>
      <vt:lpstr>GL 891 Unassigned MFBP</vt:lpstr>
      <vt:lpstr>Journal Entries</vt:lpstr>
      <vt:lpstr>DISNAME</vt:lpstr>
      <vt:lpstr>disname2</vt:lpstr>
      <vt:lpstr>disnameA</vt:lpstr>
      <vt:lpstr>'Fund Balance Summary'!Print_Area</vt:lpstr>
      <vt:lpstr>'GL 821 Restricted'!Print_Area</vt:lpstr>
      <vt:lpstr>'GL 823 Restricted'!Print_Area</vt:lpstr>
      <vt:lpstr>'GL 828 Restricted'!Print_Area</vt:lpstr>
      <vt:lpstr>'Please Read Instructions'!Print_Area</vt:lpstr>
    </vt:vector>
  </TitlesOfParts>
  <Company>OSPI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Fund Balance Reporting Tool</dc:title>
  <dc:creator>OSPI/SAFS</dc:creator>
  <cp:keywords>fund balance, GASB 54</cp:keywords>
  <cp:lastModifiedBy>Paul Stone (OSPI)</cp:lastModifiedBy>
  <cp:lastPrinted>2025-09-11T19:00:19Z</cp:lastPrinted>
  <dcterms:created xsi:type="dcterms:W3CDTF">2011-05-18T18:10:29Z</dcterms:created>
  <dcterms:modified xsi:type="dcterms:W3CDTF">2026-09-08T20:54:30Z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9145f431-4c8c-42c6-a5a5-ba6d3bdea585_Enabled">
    <vt:lpwstr>true</vt:lpwstr>
  </property>
  <property fmtid="{D5CDD505-2E9C-101B-9397-08002B2CF9AE}" pid="3" name="MSIP_Label_9145f431-4c8c-42c6-a5a5-ba6d3bdea585_SetDate">
    <vt:lpwstr>2024-05-21T19:58:50Z</vt:lpwstr>
  </property>
  <property fmtid="{D5CDD505-2E9C-101B-9397-08002B2CF9AE}" pid="4" name="MSIP_Label_9145f431-4c8c-42c6-a5a5-ba6d3bdea585_Method">
    <vt:lpwstr>Standard</vt:lpwstr>
  </property>
  <property fmtid="{D5CDD505-2E9C-101B-9397-08002B2CF9AE}" pid="5" name="MSIP_Label_9145f431-4c8c-42c6-a5a5-ba6d3bdea585_Name">
    <vt:lpwstr>defa4170-0d19-0005-0004-bc88714345d2</vt:lpwstr>
  </property>
  <property fmtid="{D5CDD505-2E9C-101B-9397-08002B2CF9AE}" pid="6" name="MSIP_Label_9145f431-4c8c-42c6-a5a5-ba6d3bdea585_SiteId">
    <vt:lpwstr>b2fe5ccf-10a5-46fe-ae45-a0267412af7a</vt:lpwstr>
  </property>
  <property fmtid="{D5CDD505-2E9C-101B-9397-08002B2CF9AE}" pid="7" name="MSIP_Label_9145f431-4c8c-42c6-a5a5-ba6d3bdea585_ActionId">
    <vt:lpwstr>2b547332-ca2c-4957-bc64-4fe07d7da369</vt:lpwstr>
  </property>
  <property fmtid="{D5CDD505-2E9C-101B-9397-08002B2CF9AE}" pid="8" name="MSIP_Label_9145f431-4c8c-42c6-a5a5-ba6d3bdea585_ContentBits">
    <vt:lpwstr>0</vt:lpwstr>
  </property>
</Properties>
</file>